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sol-my.sharepoint.com/personal/sourabh_jain_cosol_global/Documents/Sourabh_CDrive/03_Maximo_study/MAS/Maximo_Application_Suite_On_Premises_Infrastructure_Calculator/"/>
    </mc:Choice>
  </mc:AlternateContent>
  <xr:revisionPtr revIDLastSave="12" documentId="8_{2EBD1E7C-0D27-470E-8140-A50E6FD11A83}" xr6:coauthVersionLast="47" xr6:coauthVersionMax="47" xr10:uidLastSave="{953977C0-5A8E-4655-AB4B-CF29AE8DF965}"/>
  <bookViews>
    <workbookView xWindow="-120" yWindow="-120" windowWidth="29040" windowHeight="15720" xr2:uid="{BE43DAD7-7525-4C43-8434-649D77803DED}"/>
  </bookViews>
  <sheets>
    <sheet name="V8 Calculator" sheetId="1" r:id="rId1"/>
    <sheet name="Predict Data Points" sheetId="2" r:id="rId2"/>
    <sheet name="Production Detailed Report" sheetId="3" r:id="rId3"/>
    <sheet name="Development Detailed Report" sheetId="6" r:id="rId4"/>
    <sheet name="Versions" sheetId="4" r:id="rId5"/>
    <sheet name="Data Source" sheetId="5" state="hidden" r:id="rId6"/>
  </sheets>
  <definedNames>
    <definedName name="EnvironmentSizes">'V8 Calculator'!$L$16:$L$23</definedName>
    <definedName name="MASData">'Data Source'!$A$28:$G$138</definedName>
    <definedName name="_xlnm.Print_Area" localSheetId="1">'Predict Data Points'!$C$1:$E$27</definedName>
    <definedName name="_xlnm.Print_Area" localSheetId="2">'Production Detailed Report'!$B$2:$L$68</definedName>
    <definedName name="_xlnm.Print_Area" localSheetId="0">'V8 Calculator'!$L$15:$Q$86</definedName>
    <definedName name="_xlnm.Print_Area" localSheetId="4">Versions!$B$1:$C$12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P29" i="1" s="1"/>
  <c r="D138" i="5"/>
  <c r="C138" i="5"/>
  <c r="B138" i="5"/>
  <c r="O29" i="1" l="1"/>
  <c r="O70" i="1" l="1"/>
  <c r="I19" i="1"/>
  <c r="H19" i="1"/>
  <c r="H29" i="1"/>
  <c r="B26" i="5"/>
  <c r="B25" i="5"/>
  <c r="I29" i="1"/>
  <c r="C26" i="5" l="1"/>
  <c r="F26" i="5" l="1"/>
  <c r="O14" i="1" s="1"/>
  <c r="E26" i="5"/>
  <c r="N14" i="1" s="1"/>
  <c r="D26" i="5"/>
  <c r="M14" i="1" l="1"/>
  <c r="L57" i="1"/>
  <c r="J29" i="1" l="1"/>
  <c r="H28" i="1"/>
  <c r="B17" i="5"/>
  <c r="B16" i="5"/>
  <c r="B15" i="5"/>
  <c r="N16" i="3" l="1"/>
  <c r="N10" i="3"/>
  <c r="N11" i="3"/>
  <c r="N12" i="3"/>
  <c r="N13" i="3"/>
  <c r="N14" i="3"/>
  <c r="N15" i="3"/>
  <c r="N9" i="3"/>
  <c r="J6" i="3"/>
  <c r="J26" i="3" s="1"/>
  <c r="J46" i="3" s="1"/>
  <c r="J69" i="3" s="1"/>
  <c r="I6" i="3"/>
  <c r="I26" i="3" s="1"/>
  <c r="I46" i="3" s="1"/>
  <c r="I69" i="3" s="1"/>
  <c r="H6" i="3"/>
  <c r="H26" i="3" s="1"/>
  <c r="H46" i="3" s="1"/>
  <c r="H69" i="3" s="1"/>
  <c r="G6" i="3"/>
  <c r="G26" i="3" s="1"/>
  <c r="G46" i="3" s="1"/>
  <c r="G69" i="3" s="1"/>
  <c r="F6" i="3"/>
  <c r="F26" i="3" s="1"/>
  <c r="F46" i="3" s="1"/>
  <c r="F69" i="3" s="1"/>
  <c r="E6" i="3"/>
  <c r="E26" i="3" s="1"/>
  <c r="E46" i="3" s="1"/>
  <c r="E69" i="3" s="1"/>
  <c r="D6" i="3"/>
  <c r="D26" i="3" s="1"/>
  <c r="D46" i="3" s="1"/>
  <c r="D69" i="3" s="1"/>
  <c r="B27" i="1"/>
  <c r="O84" i="1"/>
  <c r="B24" i="1"/>
  <c r="L41" i="1" s="1"/>
  <c r="P41" i="1" s="1"/>
  <c r="M81" i="1" l="1"/>
  <c r="B22" i="3"/>
  <c r="B42" i="3" s="1"/>
  <c r="B63" i="3" s="1"/>
  <c r="M82" i="1"/>
  <c r="M83" i="1"/>
  <c r="M84" i="1"/>
  <c r="M85" i="1"/>
  <c r="M41" i="1"/>
  <c r="D22" i="3" s="1"/>
  <c r="O41" i="1"/>
  <c r="D63" i="3" s="1"/>
  <c r="N41" i="1"/>
  <c r="D42" i="3" s="1"/>
  <c r="B21" i="1" l="1"/>
  <c r="M72" i="1" l="1"/>
  <c r="M77" i="1"/>
  <c r="M74" i="1"/>
  <c r="M79" i="1"/>
  <c r="M76" i="1"/>
  <c r="M78" i="1"/>
  <c r="M75" i="1"/>
  <c r="P72" i="1"/>
  <c r="B11" i="5"/>
  <c r="B11" i="3"/>
  <c r="B31" i="3" s="1"/>
  <c r="B51" i="3" s="1"/>
  <c r="M44" i="5"/>
  <c r="M43" i="5"/>
  <c r="L40" i="1"/>
  <c r="B21" i="3" s="1"/>
  <c r="B41" i="3" s="1"/>
  <c r="B62" i="3" s="1"/>
  <c r="L39" i="1"/>
  <c r="B20" i="3" s="1"/>
  <c r="B40" i="3" s="1"/>
  <c r="B61" i="3" s="1"/>
  <c r="L48" i="1"/>
  <c r="M48" i="1"/>
  <c r="C4" i="6"/>
  <c r="B38" i="6" s="1"/>
  <c r="A81" i="5"/>
  <c r="A29" i="5"/>
  <c r="H10" i="6"/>
  <c r="H11" i="6"/>
  <c r="H12" i="6"/>
  <c r="H13" i="6"/>
  <c r="H14" i="6"/>
  <c r="H8" i="6"/>
  <c r="H9" i="6"/>
  <c r="H7" i="6"/>
  <c r="B20" i="6" s="1"/>
  <c r="L17" i="1"/>
  <c r="L16" i="1"/>
  <c r="D5" i="3" s="1"/>
  <c r="B2" i="5"/>
  <c r="A119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P7" i="5"/>
  <c r="L18" i="1" s="1"/>
  <c r="F5" i="3" s="1"/>
  <c r="F70" i="3" s="1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8" i="5"/>
  <c r="A117" i="5"/>
  <c r="A104" i="5"/>
  <c r="A103" i="5"/>
  <c r="A102" i="5"/>
  <c r="A101" i="5"/>
  <c r="A100" i="5"/>
  <c r="A99" i="5"/>
  <c r="A92" i="5"/>
  <c r="A91" i="5"/>
  <c r="A90" i="5"/>
  <c r="A89" i="5"/>
  <c r="A88" i="5"/>
  <c r="A87" i="5"/>
  <c r="A86" i="5"/>
  <c r="A85" i="5"/>
  <c r="A84" i="5"/>
  <c r="A83" i="5"/>
  <c r="A82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3" i="5"/>
  <c r="A31" i="5"/>
  <c r="A34" i="5"/>
  <c r="P21" i="5"/>
  <c r="L23" i="1" s="1"/>
  <c r="K5" i="3" s="1"/>
  <c r="K70" i="3" s="1"/>
  <c r="P15" i="5"/>
  <c r="L22" i="1" s="1"/>
  <c r="J5" i="3" s="1"/>
  <c r="J70" i="3" s="1"/>
  <c r="P14" i="5"/>
  <c r="L21" i="1" s="1"/>
  <c r="I5" i="3" s="1"/>
  <c r="I70" i="3" s="1"/>
  <c r="P19" i="5"/>
  <c r="L20" i="1" s="1"/>
  <c r="H5" i="3" s="1"/>
  <c r="H70" i="3" s="1"/>
  <c r="B20" i="5"/>
  <c r="B21" i="5" s="1"/>
  <c r="L44" i="5"/>
  <c r="M46" i="5"/>
  <c r="M47" i="5"/>
  <c r="M45" i="5"/>
  <c r="C14" i="5"/>
  <c r="A32" i="5"/>
  <c r="A30" i="5"/>
  <c r="X21" i="5"/>
  <c r="K6" i="3"/>
  <c r="K26" i="3" s="1"/>
  <c r="K46" i="3" s="1"/>
  <c r="K69" i="3" s="1"/>
  <c r="B98" i="5"/>
  <c r="E74" i="5"/>
  <c r="D74" i="5"/>
  <c r="C74" i="5"/>
  <c r="B74" i="5"/>
  <c r="E68" i="5"/>
  <c r="D68" i="5"/>
  <c r="C68" i="5"/>
  <c r="B68" i="5"/>
  <c r="D62" i="5"/>
  <c r="C62" i="5"/>
  <c r="B62" i="5"/>
  <c r="D56" i="5"/>
  <c r="C56" i="5"/>
  <c r="B56" i="5"/>
  <c r="D50" i="5"/>
  <c r="C50" i="5"/>
  <c r="B50" i="5"/>
  <c r="D44" i="5"/>
  <c r="C44" i="5"/>
  <c r="B44" i="5"/>
  <c r="C38" i="5"/>
  <c r="B38" i="5"/>
  <c r="C134" i="5"/>
  <c r="B134" i="5"/>
  <c r="D128" i="5"/>
  <c r="C128" i="5"/>
  <c r="B128" i="5"/>
  <c r="D122" i="5"/>
  <c r="C122" i="5"/>
  <c r="B122" i="5"/>
  <c r="C116" i="5"/>
  <c r="B116" i="5"/>
  <c r="C110" i="5"/>
  <c r="B110" i="5"/>
  <c r="C104" i="5"/>
  <c r="D104" i="5"/>
  <c r="B104" i="5"/>
  <c r="E92" i="5"/>
  <c r="C92" i="5"/>
  <c r="B92" i="5"/>
  <c r="B86" i="5"/>
  <c r="C86" i="5"/>
  <c r="B4" i="5"/>
  <c r="B3" i="5"/>
  <c r="B18" i="5"/>
  <c r="C5" i="5" s="1"/>
  <c r="P37" i="5"/>
  <c r="P38" i="5"/>
  <c r="P39" i="5"/>
  <c r="P36" i="5"/>
  <c r="O40" i="5"/>
  <c r="N37" i="5"/>
  <c r="N38" i="5"/>
  <c r="N39" i="5"/>
  <c r="N36" i="5"/>
  <c r="N31" i="5"/>
  <c r="N32" i="5"/>
  <c r="N33" i="5"/>
  <c r="N30" i="5"/>
  <c r="L40" i="5"/>
  <c r="D32" i="5"/>
  <c r="D30" i="5"/>
  <c r="L34" i="5"/>
  <c r="N34" i="5" s="1"/>
  <c r="G6" i="5" l="1"/>
  <c r="E5" i="3"/>
  <c r="E47" i="3" s="1"/>
  <c r="D47" i="3"/>
  <c r="D70" i="3"/>
  <c r="F27" i="3"/>
  <c r="F47" i="3"/>
  <c r="H47" i="3"/>
  <c r="H27" i="3"/>
  <c r="J27" i="3"/>
  <c r="J47" i="3"/>
  <c r="I47" i="3"/>
  <c r="I27" i="3"/>
  <c r="K27" i="3"/>
  <c r="K47" i="3"/>
  <c r="K7" i="3"/>
  <c r="J7" i="3"/>
  <c r="I7" i="3"/>
  <c r="H7" i="3"/>
  <c r="F7" i="3"/>
  <c r="B26" i="6"/>
  <c r="F26" i="6" s="1"/>
  <c r="N22" i="1"/>
  <c r="M22" i="1"/>
  <c r="O22" i="1"/>
  <c r="M23" i="1"/>
  <c r="O23" i="1"/>
  <c r="N23" i="1"/>
  <c r="O18" i="1"/>
  <c r="N18" i="1"/>
  <c r="M18" i="1"/>
  <c r="O17" i="1"/>
  <c r="M20" i="1"/>
  <c r="N20" i="1"/>
  <c r="O20" i="1"/>
  <c r="P21" i="1"/>
  <c r="O21" i="1"/>
  <c r="N21" i="1"/>
  <c r="M21" i="1"/>
  <c r="D51" i="3"/>
  <c r="O16" i="1"/>
  <c r="B30" i="6"/>
  <c r="P39" i="1"/>
  <c r="M39" i="1"/>
  <c r="D20" i="3" s="1"/>
  <c r="O39" i="1"/>
  <c r="D61" i="3" s="1"/>
  <c r="N39" i="1"/>
  <c r="D40" i="3" s="1"/>
  <c r="B31" i="6"/>
  <c r="N40" i="1"/>
  <c r="D41" i="3" s="1"/>
  <c r="M40" i="1"/>
  <c r="D21" i="3" s="1"/>
  <c r="P40" i="1"/>
  <c r="O40" i="1"/>
  <c r="D62" i="3" s="1"/>
  <c r="B19" i="5"/>
  <c r="H5" i="5" s="1"/>
  <c r="J8" i="5" s="1"/>
  <c r="C7" i="5"/>
  <c r="G8" i="5" s="1"/>
  <c r="B7" i="6"/>
  <c r="B14" i="6"/>
  <c r="B13" i="6"/>
  <c r="B8" i="6"/>
  <c r="E8" i="6" s="1"/>
  <c r="B12" i="6"/>
  <c r="B11" i="6"/>
  <c r="B9" i="6"/>
  <c r="Q52" i="5"/>
  <c r="Q40" i="5"/>
  <c r="Q39" i="5"/>
  <c r="Q36" i="5"/>
  <c r="Q41" i="5"/>
  <c r="Q42" i="5"/>
  <c r="L33" i="1"/>
  <c r="B15" i="3" s="1"/>
  <c r="B35" i="3" s="1"/>
  <c r="B55" i="3" s="1"/>
  <c r="L28" i="1"/>
  <c r="B10" i="3" s="1"/>
  <c r="L34" i="1"/>
  <c r="B16" i="3" s="1"/>
  <c r="L32" i="1"/>
  <c r="B14" i="3" s="1"/>
  <c r="B34" i="3" s="1"/>
  <c r="B54" i="3" s="1"/>
  <c r="D6" i="5"/>
  <c r="E6" i="5"/>
  <c r="D7" i="5"/>
  <c r="P40" i="5"/>
  <c r="P41" i="5" s="1"/>
  <c r="B13" i="5" s="1"/>
  <c r="N40" i="5"/>
  <c r="N41" i="5" s="1"/>
  <c r="B12" i="5" s="1"/>
  <c r="N35" i="5"/>
  <c r="B10" i="5" s="1"/>
  <c r="J34" i="5"/>
  <c r="J33" i="5"/>
  <c r="J32" i="5"/>
  <c r="J31" i="5"/>
  <c r="J30" i="5"/>
  <c r="J40" i="5"/>
  <c r="J39" i="5"/>
  <c r="J38" i="5"/>
  <c r="J37" i="5"/>
  <c r="J36" i="5"/>
  <c r="A98" i="5"/>
  <c r="A97" i="5"/>
  <c r="A96" i="5"/>
  <c r="A95" i="5"/>
  <c r="A94" i="5"/>
  <c r="A93" i="5"/>
  <c r="E70" i="3" l="1"/>
  <c r="F10" i="3"/>
  <c r="B30" i="3"/>
  <c r="J16" i="3"/>
  <c r="B36" i="3"/>
  <c r="D26" i="6"/>
  <c r="E26" i="6"/>
  <c r="C26" i="6"/>
  <c r="C8" i="6"/>
  <c r="D8" i="6"/>
  <c r="E8" i="5"/>
  <c r="D8" i="5"/>
  <c r="C7" i="6"/>
  <c r="E7" i="6"/>
  <c r="D7" i="6"/>
  <c r="B25" i="6"/>
  <c r="N34" i="1"/>
  <c r="M34" i="1"/>
  <c r="O34" i="1"/>
  <c r="J56" i="3" s="1"/>
  <c r="E14" i="6"/>
  <c r="C14" i="6"/>
  <c r="D14" i="6"/>
  <c r="P28" i="1"/>
  <c r="O28" i="1"/>
  <c r="N28" i="1"/>
  <c r="M28" i="1"/>
  <c r="E9" i="6"/>
  <c r="C9" i="6"/>
  <c r="D9" i="6"/>
  <c r="E13" i="6"/>
  <c r="D13" i="6"/>
  <c r="C13" i="6"/>
  <c r="B23" i="6"/>
  <c r="N32" i="1"/>
  <c r="J34" i="3" s="1"/>
  <c r="O32" i="1"/>
  <c r="J54" i="3" s="1"/>
  <c r="M32" i="1"/>
  <c r="B24" i="6"/>
  <c r="O33" i="1"/>
  <c r="M33" i="1"/>
  <c r="F15" i="3" s="1"/>
  <c r="N33" i="1"/>
  <c r="F35" i="3" s="1"/>
  <c r="F30" i="6"/>
  <c r="D30" i="6"/>
  <c r="C30" i="6"/>
  <c r="E30" i="6"/>
  <c r="D31" i="6"/>
  <c r="C31" i="6"/>
  <c r="E31" i="6"/>
  <c r="F31" i="6"/>
  <c r="E11" i="6"/>
  <c r="D11" i="6"/>
  <c r="C11" i="6"/>
  <c r="F20" i="6"/>
  <c r="E20" i="6"/>
  <c r="D12" i="6"/>
  <c r="B36" i="1" s="1"/>
  <c r="P59" i="1" s="1"/>
  <c r="F12" i="6"/>
  <c r="F15" i="6" s="1"/>
  <c r="G36" i="6" s="1"/>
  <c r="G38" i="6" s="1"/>
  <c r="Q50" i="1" s="1"/>
  <c r="E12" i="6"/>
  <c r="C12" i="6"/>
  <c r="B35" i="1" s="1"/>
  <c r="B19" i="6"/>
  <c r="I6" i="5"/>
  <c r="L6" i="5"/>
  <c r="J6" i="5"/>
  <c r="L8" i="5"/>
  <c r="E32" i="5" s="1"/>
  <c r="I8" i="5"/>
  <c r="B23" i="5"/>
  <c r="B24" i="5" s="1"/>
  <c r="Q35" i="5" s="1"/>
  <c r="X18" i="5"/>
  <c r="X17" i="5"/>
  <c r="X16" i="5"/>
  <c r="X15" i="5"/>
  <c r="X14" i="5"/>
  <c r="X13" i="5"/>
  <c r="X12" i="5"/>
  <c r="U12" i="5"/>
  <c r="T12" i="5" s="1"/>
  <c r="X11" i="5"/>
  <c r="X10" i="5"/>
  <c r="X9" i="5"/>
  <c r="X8" i="5"/>
  <c r="X7" i="5"/>
  <c r="X6" i="5"/>
  <c r="D15" i="5"/>
  <c r="B79" i="5" s="1"/>
  <c r="M29" i="1" l="1"/>
  <c r="D11" i="3" s="1"/>
  <c r="C20" i="6"/>
  <c r="F50" i="3"/>
  <c r="F19" i="6"/>
  <c r="E19" i="6"/>
  <c r="C19" i="6"/>
  <c r="D19" i="6"/>
  <c r="J36" i="3"/>
  <c r="B56" i="3"/>
  <c r="F30" i="3"/>
  <c r="B50" i="3"/>
  <c r="J14" i="3"/>
  <c r="D24" i="6"/>
  <c r="C24" i="6"/>
  <c r="F24" i="6"/>
  <c r="E24" i="6"/>
  <c r="F25" i="6"/>
  <c r="D25" i="6"/>
  <c r="C25" i="6"/>
  <c r="E25" i="6"/>
  <c r="F23" i="6"/>
  <c r="D23" i="6"/>
  <c r="C23" i="6"/>
  <c r="E23" i="6"/>
  <c r="E83" i="5"/>
  <c r="P6" i="5"/>
  <c r="P9" i="5"/>
  <c r="Q37" i="5" s="1"/>
  <c r="L27" i="1"/>
  <c r="B9" i="3" s="1"/>
  <c r="B29" i="3" s="1"/>
  <c r="B49" i="3" s="1"/>
  <c r="E86" i="5"/>
  <c r="E85" i="5"/>
  <c r="E84" i="5"/>
  <c r="E82" i="5"/>
  <c r="E30" i="5"/>
  <c r="E15" i="5"/>
  <c r="C79" i="5" s="1"/>
  <c r="N29" i="1" s="1"/>
  <c r="D31" i="3" l="1"/>
  <c r="D20" i="6"/>
  <c r="M27" i="1"/>
  <c r="N27" i="1"/>
  <c r="P27" i="1"/>
  <c r="O27" i="1"/>
  <c r="B18" i="6"/>
  <c r="C32" i="5"/>
  <c r="E27" i="3" s="1"/>
  <c r="B32" i="5"/>
  <c r="M17" i="1" s="1"/>
  <c r="C30" i="5"/>
  <c r="D27" i="3" s="1"/>
  <c r="B30" i="5"/>
  <c r="F18" i="6" l="1"/>
  <c r="D18" i="6"/>
  <c r="B41" i="1" s="1"/>
  <c r="P60" i="1" s="1"/>
  <c r="C18" i="6"/>
  <c r="B40" i="1" s="1"/>
  <c r="E18" i="6"/>
  <c r="B42" i="1"/>
  <c r="D49" i="3"/>
  <c r="E49" i="3"/>
  <c r="D29" i="3"/>
  <c r="E29" i="3"/>
  <c r="D9" i="3"/>
  <c r="E9" i="3"/>
  <c r="M16" i="1"/>
  <c r="D7" i="3"/>
  <c r="N16" i="1"/>
  <c r="E7" i="3"/>
  <c r="N17" i="1"/>
  <c r="L60" i="1" l="1"/>
  <c r="L58" i="3"/>
  <c r="L67" i="3" s="1"/>
  <c r="N60" i="1"/>
  <c r="L64" i="1" s="1"/>
  <c r="O60" i="1"/>
  <c r="O77" i="1" l="1"/>
  <c r="O59" i="1" s="1"/>
  <c r="M67" i="1" l="1"/>
  <c r="N20" i="2" l="1"/>
  <c r="N15" i="2"/>
  <c r="N21" i="2" s="1"/>
  <c r="N14" i="2"/>
  <c r="D20" i="2"/>
  <c r="D15" i="2"/>
  <c r="F18" i="2" l="1"/>
  <c r="F8" i="2"/>
  <c r="F10" i="2" s="1"/>
  <c r="G20" i="2"/>
  <c r="G8" i="2"/>
  <c r="G7" i="2"/>
  <c r="I7" i="2" s="1"/>
  <c r="D14" i="2" l="1"/>
  <c r="D21" i="2" l="1"/>
  <c r="D23" i="2" s="1"/>
  <c r="P11" i="5" l="1"/>
  <c r="P24" i="1"/>
  <c r="Q13" i="1" l="1"/>
  <c r="Q51" i="5"/>
  <c r="R51" i="5" s="1"/>
  <c r="S51" i="5" s="1"/>
  <c r="L30" i="1" s="1"/>
  <c r="B12" i="3" s="1"/>
  <c r="B32" i="3" s="1"/>
  <c r="B52" i="3" s="1"/>
  <c r="L19" i="1"/>
  <c r="G5" i="3" s="1"/>
  <c r="G70" i="3" s="1"/>
  <c r="L70" i="3" s="1"/>
  <c r="Q46" i="1"/>
  <c r="L31" i="1"/>
  <c r="Q38" i="5"/>
  <c r="R35" i="5" s="1"/>
  <c r="S35" i="5" s="1"/>
  <c r="L38" i="1" s="1"/>
  <c r="B19" i="3" s="1"/>
  <c r="B39" i="3" s="1"/>
  <c r="B60" i="3" s="1"/>
  <c r="G47" i="3" l="1"/>
  <c r="L47" i="3" s="1"/>
  <c r="G27" i="3"/>
  <c r="L27" i="3" s="1"/>
  <c r="B22" i="6"/>
  <c r="C22" i="6" s="1"/>
  <c r="B13" i="3"/>
  <c r="B33" i="3" s="1"/>
  <c r="B53" i="3" s="1"/>
  <c r="G7" i="3"/>
  <c r="B21" i="6"/>
  <c r="F21" i="6" s="1"/>
  <c r="B45" i="1"/>
  <c r="B10" i="6"/>
  <c r="O19" i="1"/>
  <c r="N19" i="1"/>
  <c r="M19" i="1"/>
  <c r="N38" i="1"/>
  <c r="M38" i="1"/>
  <c r="D19" i="3" s="1"/>
  <c r="L23" i="3" s="1"/>
  <c r="P38" i="1"/>
  <c r="P42" i="1" s="1"/>
  <c r="O38" i="1"/>
  <c r="Q53" i="1"/>
  <c r="N59" i="1" s="1"/>
  <c r="O42" i="1" l="1"/>
  <c r="D60" i="3"/>
  <c r="N42" i="1"/>
  <c r="D39" i="3"/>
  <c r="L43" i="3" s="1"/>
  <c r="M42" i="1"/>
  <c r="D22" i="6"/>
  <c r="E22" i="6"/>
  <c r="F22" i="6"/>
  <c r="F27" i="6" s="1"/>
  <c r="E21" i="6"/>
  <c r="C21" i="6"/>
  <c r="C27" i="6" s="1"/>
  <c r="D21" i="6"/>
  <c r="B32" i="1"/>
  <c r="Q58" i="1" s="1"/>
  <c r="B37" i="1"/>
  <c r="Q59" i="1" s="1"/>
  <c r="E10" i="6"/>
  <c r="E15" i="6" s="1"/>
  <c r="D10" i="6"/>
  <c r="D15" i="6" s="1"/>
  <c r="C10" i="6"/>
  <c r="C15" i="6" s="1"/>
  <c r="M31" i="1"/>
  <c r="G13" i="3" s="1"/>
  <c r="M30" i="1"/>
  <c r="G12" i="3" s="1"/>
  <c r="N30" i="1"/>
  <c r="N31" i="1"/>
  <c r="G33" i="3" s="1"/>
  <c r="O31" i="1"/>
  <c r="G53" i="3" s="1"/>
  <c r="O30" i="1"/>
  <c r="M24" i="1"/>
  <c r="L7" i="3"/>
  <c r="G52" i="3" l="1"/>
  <c r="H52" i="3"/>
  <c r="G32" i="3"/>
  <c r="H32" i="3"/>
  <c r="D27" i="6"/>
  <c r="E27" i="6"/>
  <c r="H12" i="3"/>
  <c r="L17" i="3" s="1"/>
  <c r="L24" i="3" s="1"/>
  <c r="L59" i="1"/>
  <c r="L57" i="3" l="1"/>
  <c r="L37" i="3"/>
  <c r="N57" i="1"/>
  <c r="F75" i="3" s="1"/>
  <c r="E75" i="3" l="1"/>
  <c r="D75" i="3"/>
  <c r="N24" i="1"/>
  <c r="O24" i="1"/>
  <c r="M35" i="1" l="1"/>
  <c r="N35" i="1"/>
  <c r="O35" i="1"/>
  <c r="P35" i="1"/>
  <c r="B32" i="6"/>
  <c r="F32" i="6" l="1"/>
  <c r="F33" i="6" s="1"/>
  <c r="F36" i="6" s="1"/>
  <c r="F38" i="6" s="1"/>
  <c r="D32" i="6"/>
  <c r="D33" i="6" s="1"/>
  <c r="D36" i="6" s="1"/>
  <c r="D38" i="6" s="1"/>
  <c r="N50" i="1" s="1"/>
  <c r="C32" i="6"/>
  <c r="C33" i="6" s="1"/>
  <c r="C36" i="6" s="1"/>
  <c r="C38" i="6" s="1"/>
  <c r="M50" i="1" s="1"/>
  <c r="E32" i="6"/>
  <c r="E33" i="6" s="1"/>
  <c r="E36" i="6" s="1"/>
  <c r="E38" i="6" s="1"/>
  <c r="O50" i="1" s="1"/>
  <c r="N46" i="1"/>
  <c r="N13" i="1"/>
  <c r="O46" i="1"/>
  <c r="O13" i="1"/>
  <c r="P46" i="1"/>
  <c r="P13" i="1"/>
  <c r="M13" i="1"/>
  <c r="M46" i="1"/>
  <c r="P50" i="1" l="1"/>
  <c r="P53" i="1" s="1"/>
  <c r="N62" i="1" s="1"/>
  <c r="M53" i="1"/>
  <c r="O53" i="1"/>
  <c r="N61" i="1" s="1"/>
  <c r="N53" i="1"/>
  <c r="B30" i="1" l="1"/>
  <c r="L44" i="3"/>
  <c r="B31" i="1"/>
  <c r="P58" i="1" s="1"/>
  <c r="N58" i="1" l="1"/>
  <c r="O58" i="1"/>
  <c r="L58" i="1"/>
  <c r="L63" i="1" l="1"/>
  <c r="L64" i="3"/>
  <c r="L6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</author>
  </authors>
  <commentList>
    <comment ref="O56" authorId="0" shapeId="0" xr:uid="{BF8B64B5-E9A2-4646-A2F0-6C19B9FE5769}">
      <text>
        <r>
          <rPr>
            <sz val="9"/>
            <color rgb="FF000000"/>
            <rFont val="Tahoma"/>
            <family val="2"/>
          </rPr>
          <t xml:space="preserve">Determines which attribute is driving the node count requirements and highlights the attribute with green background.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6" authorId="0" shapeId="0" xr:uid="{989303D8-C7BE-4222-8088-75C19FE7292D}">
      <text>
        <r>
          <rPr>
            <sz val="9"/>
            <color rgb="FF000000"/>
            <rFont val="Tahoma"/>
            <family val="2"/>
          </rPr>
          <t>Determines which attribute is driving the node count requirements and highlights the attribute with green background.</t>
        </r>
      </text>
    </comment>
    <comment ref="Q56" authorId="0" shapeId="0" xr:uid="{BEAF8CDE-DF0E-4EDA-9F28-4DC1DFFE90A5}">
      <text>
        <r>
          <rPr>
            <sz val="9"/>
            <color rgb="FF000000"/>
            <rFont val="Tahoma"/>
            <family val="2"/>
          </rPr>
          <t xml:space="preserve">Determines which attribute is driving the node count requirements and highlights the attribute with green background.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</author>
  </authors>
  <commentList>
    <comment ref="A10" authorId="0" shapeId="0" xr:uid="{2B440905-64A0-42D8-A4B1-F2EB51DB9323}">
      <text>
        <r>
          <rPr>
            <b/>
            <sz val="9"/>
            <color indexed="81"/>
            <rFont val="Tahoma"/>
            <family val="2"/>
          </rPr>
          <t>Scott:</t>
        </r>
        <r>
          <rPr>
            <sz val="9"/>
            <color indexed="81"/>
            <rFont val="Tahoma"/>
            <family val="2"/>
          </rPr>
          <t xml:space="preserve">
Average storage per user from previous the t-shirt calculations.  See table below. Using JVM calculations instead.</t>
        </r>
      </text>
    </comment>
    <comment ref="A12" authorId="0" shapeId="0" xr:uid="{45EB9D16-39A4-4509-9FF5-EBEEA9D3BBD4}">
      <text>
        <r>
          <rPr>
            <b/>
            <sz val="9"/>
            <color indexed="81"/>
            <rFont val="Tahoma"/>
            <family val="2"/>
          </rPr>
          <t>Scott:</t>
        </r>
        <r>
          <rPr>
            <sz val="9"/>
            <color indexed="81"/>
            <rFont val="Tahoma"/>
            <family val="2"/>
          </rPr>
          <t xml:space="preserve">
Average DB2 storage per Health User based on old t-shirt sizing. See table (J27) for reference. Not using, converting to JVM instead.</t>
        </r>
      </text>
    </comment>
    <comment ref="A13" authorId="0" shapeId="0" xr:uid="{25A06790-525C-4FBE-BFB7-9A53EBE112D8}">
      <text>
        <r>
          <rPr>
            <b/>
            <sz val="9"/>
            <color rgb="FF000000"/>
            <rFont val="Tahoma"/>
            <family val="2"/>
          </rPr>
          <t>Scott: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Average DB2 storage per Health Asset based on old t-shirt sizing. See table (J27) for reference. Not using, converting to JVM instead.</t>
        </r>
      </text>
    </comment>
    <comment ref="A76" authorId="0" shapeId="0" xr:uid="{437B5915-652F-46F9-9716-180BF1069880}">
      <text>
        <r>
          <rPr>
            <b/>
            <sz val="9"/>
            <color rgb="FF000000"/>
            <rFont val="Tahoma"/>
            <family val="2"/>
          </rPr>
          <t>Scott: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Rule: 2 worker node cluster requires at least 4 cores &amp; 16GB memory</t>
        </r>
      </text>
    </comment>
    <comment ref="A79" authorId="0" shapeId="0" xr:uid="{0A381B07-A024-4EF4-96FB-3865848A048E}">
      <text>
        <r>
          <rPr>
            <b/>
            <sz val="9"/>
            <color rgb="FF000000"/>
            <rFont val="Tahoma"/>
            <family val="2"/>
          </rPr>
          <t>Scott: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Manage Only Requirements
</t>
        </r>
        <r>
          <rPr>
            <sz val="9"/>
            <color rgb="FF000000"/>
            <rFont val="Tahoma"/>
            <family val="2"/>
          </rPr>
          <t xml:space="preserve">Non UI JVMs (5 total)
</t>
        </r>
        <r>
          <rPr>
            <sz val="9"/>
            <color rgb="FF000000"/>
            <rFont val="Tahoma"/>
            <family val="2"/>
          </rPr>
          <t xml:space="preserve">Integrations - 3
</t>
        </r>
        <r>
          <rPr>
            <sz val="9"/>
            <color rgb="FF000000"/>
            <rFont val="Tahoma"/>
            <family val="2"/>
          </rPr>
          <t xml:space="preserve">Reporting - 1
</t>
        </r>
        <r>
          <rPr>
            <sz val="9"/>
            <color rgb="FF000000"/>
            <rFont val="Tahoma"/>
            <family val="2"/>
          </rPr>
          <t xml:space="preserve">Crontask - 1
</t>
        </r>
        <r>
          <rPr>
            <sz val="9"/>
            <color rgb="FF000000"/>
            <rFont val="Tahoma"/>
            <family val="2"/>
          </rPr>
          <t>Cluster Wide Settings</t>
        </r>
      </text>
    </comment>
    <comment ref="A80" authorId="0" shapeId="0" xr:uid="{AD8A0686-804C-410D-AB51-AEF9A9B1E785}">
      <text>
        <r>
          <rPr>
            <b/>
            <sz val="9"/>
            <color rgb="FF000000"/>
            <rFont val="Tahoma"/>
            <family val="2"/>
          </rPr>
          <t>Scott: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Cluster wide - Best practice is 3 separate servers. Combined requirements reflected here.</t>
        </r>
      </text>
    </comment>
  </commentList>
</comments>
</file>

<file path=xl/sharedStrings.xml><?xml version="1.0" encoding="utf-8"?>
<sst xmlns="http://schemas.openxmlformats.org/spreadsheetml/2006/main" count="464" uniqueCount="264">
  <si>
    <t xml:space="preserve">Calculations </t>
  </si>
  <si>
    <t>Manage</t>
  </si>
  <si>
    <t>Users</t>
  </si>
  <si>
    <t>Use (Y/N)</t>
  </si>
  <si>
    <t>Quantity</t>
  </si>
  <si>
    <t>Size Metric</t>
  </si>
  <si>
    <t>Monitor</t>
  </si>
  <si>
    <t>i/o points</t>
  </si>
  <si>
    <t>Applications</t>
  </si>
  <si>
    <t>Health</t>
  </si>
  <si>
    <t>Predict</t>
  </si>
  <si>
    <t>Y</t>
  </si>
  <si>
    <t>N</t>
  </si>
  <si>
    <t>Memory</t>
  </si>
  <si>
    <t>GPUs</t>
  </si>
  <si>
    <t>Sizing and Quantity Definitions</t>
  </si>
  <si>
    <t>Metric</t>
  </si>
  <si>
    <t>Storage</t>
  </si>
  <si>
    <t>Visual Inspection</t>
  </si>
  <si>
    <t xml:space="preserve">Total Application Quantities:  </t>
  </si>
  <si>
    <t>Assets</t>
  </si>
  <si>
    <t>Primary</t>
  </si>
  <si>
    <t>Kafka</t>
  </si>
  <si>
    <t>Each System Configuration</t>
  </si>
  <si>
    <r>
      <t>Users</t>
    </r>
    <r>
      <rPr>
        <vertAlign val="superscript"/>
        <sz val="12"/>
        <color theme="1"/>
        <rFont val="Calibri (Body)"/>
      </rPr>
      <t>1</t>
    </r>
  </si>
  <si>
    <r>
      <t>i/o points</t>
    </r>
    <r>
      <rPr>
        <vertAlign val="superscript"/>
        <sz val="12"/>
        <color theme="1"/>
        <rFont val="Calibri (Body)"/>
      </rPr>
      <t>2</t>
    </r>
  </si>
  <si>
    <t>Dev</t>
  </si>
  <si>
    <t>Size Ranges -  Up To:</t>
  </si>
  <si>
    <t>Training</t>
  </si>
  <si>
    <t>Number of Groups</t>
  </si>
  <si>
    <t># of Assets per Group</t>
  </si>
  <si>
    <t>Frequency of data collection</t>
  </si>
  <si>
    <t>Frequency of Scoring</t>
  </si>
  <si>
    <t>Records per Day</t>
  </si>
  <si>
    <t># of sensors per asset average</t>
  </si>
  <si>
    <t># of assets</t>
  </si>
  <si>
    <t>Results</t>
  </si>
  <si>
    <t># of Models per Group</t>
  </si>
  <si>
    <t>Times per day</t>
  </si>
  <si>
    <t>Average # of Sensors per Asset</t>
  </si>
  <si>
    <t>Number of lines of data</t>
  </si>
  <si>
    <t>Daily Pre-Aggregation?</t>
  </si>
  <si>
    <t>Years of Retention</t>
  </si>
  <si>
    <r>
      <rPr>
        <vertAlign val="super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>Users</t>
    </r>
    <r>
      <rPr>
        <sz val="12"/>
        <color theme="1"/>
        <rFont val="Calibri"/>
        <family val="2"/>
        <scheme val="minor"/>
      </rPr>
      <t xml:space="preserve">:   Users are defined as </t>
    </r>
    <r>
      <rPr>
        <b/>
        <sz val="12"/>
        <color theme="1"/>
        <rFont val="Calibri"/>
        <family val="2"/>
        <scheme val="minor"/>
      </rPr>
      <t>*concurrent*</t>
    </r>
    <r>
      <rPr>
        <sz val="12"/>
        <color theme="1"/>
        <rFont val="Calibri"/>
        <family val="2"/>
        <scheme val="minor"/>
      </rPr>
      <t xml:space="preserve"> users when sizing the infrastructure requirements</t>
    </r>
  </si>
  <si>
    <t>Data points over a 3 year period</t>
  </si>
  <si>
    <r>
      <t>Data Points</t>
    </r>
    <r>
      <rPr>
        <vertAlign val="superscript"/>
        <sz val="12"/>
        <color theme="1"/>
        <rFont val="Calibri (Body)"/>
      </rPr>
      <t>3</t>
    </r>
  </si>
  <si>
    <t>Data Point Calculation</t>
  </si>
  <si>
    <t>Training Data Points</t>
  </si>
  <si>
    <t>Predict Data Point Calculator</t>
  </si>
  <si>
    <t>at most from Monitor</t>
  </si>
  <si>
    <t>Scoring Load</t>
  </si>
  <si>
    <t>Rows per minute</t>
  </si>
  <si>
    <t>matters for trainingin only</t>
  </si>
  <si>
    <t>This is found in Monitor</t>
  </si>
  <si>
    <t>24 lines</t>
  </si>
  <si>
    <t>60,000 sensors</t>
  </si>
  <si>
    <t>Training + Scoring Load</t>
  </si>
  <si>
    <t>60,000  sensors driving data</t>
  </si>
  <si>
    <t>each sensor is a line</t>
  </si>
  <si>
    <t>50 models</t>
  </si>
  <si>
    <t>2000 assets</t>
  </si>
  <si>
    <t>each row is an asset</t>
  </si>
  <si>
    <t>Scoring Total per day across all sensors</t>
  </si>
  <si>
    <t>MongoDB</t>
  </si>
  <si>
    <t>Data Points - Training</t>
  </si>
  <si>
    <t>Scoring Load- Scoring</t>
  </si>
  <si>
    <t>Models</t>
  </si>
  <si>
    <t>Asset Groups</t>
  </si>
  <si>
    <t>Assets Per Group</t>
  </si>
  <si>
    <t>Sensors Per Asset</t>
  </si>
  <si>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To calculate Predict Data Points, Use the </t>
    </r>
    <r>
      <rPr>
        <b/>
        <sz val="12"/>
        <color theme="1"/>
        <rFont val="Calibri"/>
        <family val="2"/>
        <scheme val="minor"/>
      </rPr>
      <t>"Predict Data Points"</t>
    </r>
    <r>
      <rPr>
        <sz val="12"/>
        <color theme="1"/>
        <rFont val="Calibri"/>
        <family val="2"/>
        <scheme val="minor"/>
      </rPr>
      <t xml:space="preserve"> tab</t>
    </r>
  </si>
  <si>
    <t>TOTALS</t>
  </si>
  <si>
    <t>Total Qty</t>
  </si>
  <si>
    <t>Version</t>
  </si>
  <si>
    <t>Updates</t>
  </si>
  <si>
    <t xml:space="preserve">Installing into Existing OpenShift? </t>
  </si>
  <si>
    <t xml:space="preserve">Isolate Visual Inspection GPU Nodes? </t>
  </si>
  <si>
    <t xml:space="preserve">Enforce 3 Master + 2 Worker Nodes? </t>
  </si>
  <si>
    <t>Assist</t>
  </si>
  <si>
    <t>Safety</t>
  </si>
  <si>
    <t>Documents</t>
  </si>
  <si>
    <t>CouchDB</t>
  </si>
  <si>
    <t>Watson Discovery</t>
  </si>
  <si>
    <t>Workers Monitored</t>
  </si>
  <si>
    <t>H &amp; P - Utilities</t>
  </si>
  <si>
    <t>Asset Classes</t>
  </si>
  <si>
    <t>n/a</t>
  </si>
  <si>
    <t>System Quantity</t>
  </si>
  <si>
    <t>File Storage</t>
  </si>
  <si>
    <t>DB Storage</t>
  </si>
  <si>
    <t>Number of Development Environments</t>
  </si>
  <si>
    <t>Optimizer</t>
  </si>
  <si>
    <t>User Calculation</t>
  </si>
  <si>
    <t>JVM Calculation</t>
  </si>
  <si>
    <t>JVMs</t>
  </si>
  <si>
    <t>Users per JVM</t>
  </si>
  <si>
    <t>Memory to Add to Final</t>
  </si>
  <si>
    <t>Integrations</t>
  </si>
  <si>
    <t>Reporting</t>
  </si>
  <si>
    <t>OpenShiftMaster</t>
  </si>
  <si>
    <t>Name</t>
  </si>
  <si>
    <t>Watson ML</t>
  </si>
  <si>
    <t>DB2 Storage - Per JVM</t>
  </si>
  <si>
    <t>Mange / Health DB2 T-Shirt Calculations</t>
  </si>
  <si>
    <t>Per User</t>
  </si>
  <si>
    <t>Health Averages:</t>
  </si>
  <si>
    <t>Per Asset</t>
  </si>
  <si>
    <t>DB2 Storage - Per Health User</t>
  </si>
  <si>
    <t>DB2 Storage - Per Asset</t>
  </si>
  <si>
    <t>DB2 Storage - Per Manage User</t>
  </si>
  <si>
    <t>Manage Users Entered</t>
  </si>
  <si>
    <t>Health Users Entered</t>
  </si>
  <si>
    <t>Health Assets Entered</t>
  </si>
  <si>
    <t>Cluster Wide</t>
  </si>
  <si>
    <t>No CP4D</t>
  </si>
  <si>
    <t>Cp4d</t>
  </si>
  <si>
    <t>Db2</t>
  </si>
  <si>
    <t>(IoT Platform - Not included)</t>
  </si>
  <si>
    <t>Watson Studio - Don't double count w/HPU</t>
  </si>
  <si>
    <t>(IoT included) - Safety being removed, so no duplication possible</t>
  </si>
  <si>
    <t>Cluster Wide - Based on largest size application</t>
  </si>
  <si>
    <t>HPU</t>
  </si>
  <si>
    <t>Cluster Wide - Manage Only</t>
  </si>
  <si>
    <t>MasterOCP</t>
  </si>
  <si>
    <t>WorkerOCP</t>
  </si>
  <si>
    <t>Rules / Include</t>
  </si>
  <si>
    <t>Watson Studio (don't double count if Predict also entered)</t>
  </si>
  <si>
    <t>Bootstrap -Do we need to include this?</t>
  </si>
  <si>
    <r>
      <rPr>
        <vertAlign val="superscript"/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 xml:space="preserve">Existing JVMs Deployed with </t>
    </r>
    <r>
      <rPr>
        <b/>
        <sz val="12"/>
        <color theme="1"/>
        <rFont val="Calibri"/>
        <family val="2"/>
        <scheme val="minor"/>
      </rPr>
      <t>Maximo EAM v7.6.1.x</t>
    </r>
    <r>
      <rPr>
        <sz val="12"/>
        <color theme="1"/>
        <rFont val="Calibri"/>
        <family val="2"/>
        <scheme val="minor"/>
      </rPr>
      <t xml:space="preserve">
If both JVMs and Users are defined, the calculation will use the larger of the two outcomes.</t>
    </r>
  </si>
  <si>
    <t>Health to Manage User Ratio:</t>
  </si>
  <si>
    <t>Health Equivelant Manage Users</t>
  </si>
  <si>
    <t>Manage/Health JVMs Entered</t>
  </si>
  <si>
    <t>Manage Average:</t>
  </si>
  <si>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When calculating with </t>
    </r>
    <r>
      <rPr>
        <b/>
        <sz val="13"/>
        <color theme="1"/>
        <rFont val="Calibri"/>
        <family val="2"/>
        <scheme val="minor"/>
      </rPr>
      <t>i/o</t>
    </r>
    <r>
      <rPr>
        <b/>
        <sz val="12"/>
        <color theme="1"/>
        <rFont val="Calibri (Body)"/>
      </rPr>
      <t xml:space="preserve"> </t>
    </r>
    <r>
      <rPr>
        <b/>
        <sz val="12"/>
        <color theme="1"/>
        <rFont val="Calibri"/>
        <family val="2"/>
        <scheme val="minor"/>
      </rPr>
      <t>points</t>
    </r>
    <r>
      <rPr>
        <sz val="12"/>
        <color theme="1"/>
        <rFont val="Calibri"/>
        <family val="2"/>
        <scheme val="minor"/>
      </rPr>
      <t>, the total is equal to the product of the following three dimensions:
1) Number of devices
2) Number of data points sent in each message
3) Number of messages sent per minute per device</t>
    </r>
  </si>
  <si>
    <t xml:space="preserve">Application Sizing </t>
  </si>
  <si>
    <t>Additional Application Sizing</t>
  </si>
  <si>
    <t>OCP WorkerNode</t>
  </si>
  <si>
    <t>BootStrap Temp</t>
  </si>
  <si>
    <t>OCP Master Node</t>
  </si>
  <si>
    <t>Max JVMs Between Manage &amp; Health</t>
  </si>
  <si>
    <t>Active Sizes</t>
  </si>
  <si>
    <t xml:space="preserve">Xsmall/Min  </t>
  </si>
  <si>
    <t xml:space="preserve">Small  </t>
  </si>
  <si>
    <t xml:space="preserve">Medium  </t>
  </si>
  <si>
    <t xml:space="preserve">Large  </t>
  </si>
  <si>
    <t xml:space="preserve">Beyond Large  </t>
  </si>
  <si>
    <t xml:space="preserve">Dev  </t>
  </si>
  <si>
    <t>Cluster Wide Allocations</t>
  </si>
  <si>
    <t>Overall  Size for Shared Applications like MongoDB</t>
  </si>
  <si>
    <t>Cluster Wide - Requires 4 &amp; 16 if only a 2 node cluster.</t>
  </si>
  <si>
    <t xml:space="preserve">OpenShift Worker Nodes  </t>
  </si>
  <si>
    <t xml:space="preserve">MAS Core  </t>
  </si>
  <si>
    <t xml:space="preserve">CP4D Base  </t>
  </si>
  <si>
    <t xml:space="preserve">CP4D db2u  </t>
  </si>
  <si>
    <t>Sizing for Watson Studio between Predict &amp; HPU</t>
  </si>
  <si>
    <t>Total Production Cluster Requirements</t>
  </si>
  <si>
    <t>Existing DB2 Database Selection</t>
  </si>
  <si>
    <t>GPU</t>
  </si>
  <si>
    <t>Isolate GPU?</t>
  </si>
  <si>
    <t>Selections</t>
  </si>
  <si>
    <t>Total Dev Cluster(s) Requirements</t>
  </si>
  <si>
    <t xml:space="preserve">Total Additional Application Quantities:  </t>
  </si>
  <si>
    <t xml:space="preserve">Total Cluster Wide Quantities:  </t>
  </si>
  <si>
    <t>Total Development Clusters Entered</t>
  </si>
  <si>
    <t>TOTALS per Dev Cluster</t>
  </si>
  <si>
    <t>One Dev Cluster Requirements</t>
  </si>
  <si>
    <t>Production Cluster Configuration</t>
  </si>
  <si>
    <t>Development Cluster(s) Configuration</t>
  </si>
  <si>
    <t>Health Equivelant Users:</t>
  </si>
  <si>
    <t>Crontask Usage</t>
  </si>
  <si>
    <t>IntRptCrontask</t>
  </si>
  <si>
    <t>Manage IntRptCrontask JVMs</t>
  </si>
  <si>
    <t>Duplicate of DB2</t>
  </si>
  <si>
    <t xml:space="preserve">Install Manage w/Existing Database? </t>
  </si>
  <si>
    <t>Memory Factor</t>
  </si>
  <si>
    <t>GPU Factor</t>
  </si>
  <si>
    <t>Enforce Dev DBStorage = Prod DBStorag?</t>
  </si>
  <si>
    <t>v8_8</t>
  </si>
  <si>
    <t>Modified Manage + Health to be formula driven</t>
  </si>
  <si>
    <t>Removed Safety</t>
  </si>
  <si>
    <t>Added Optimizer</t>
  </si>
  <si>
    <t>Revamped Development Environments - Cluster Wide</t>
  </si>
  <si>
    <t>Defined cluster wide allocations</t>
  </si>
  <si>
    <t>Separated File Storage from DB Storage Allocations</t>
  </si>
  <si>
    <t>Added Option to Isolate DB Server - Default Config</t>
  </si>
  <si>
    <t>Production + Development Cluster Configuration</t>
  </si>
  <si>
    <t>vCPU</t>
  </si>
  <si>
    <t xml:space="preserve">vCPU Factor </t>
  </si>
  <si>
    <t>vCPUs</t>
  </si>
  <si>
    <t>Memory (GiB)</t>
  </si>
  <si>
    <t>File Storage (GiB)</t>
  </si>
  <si>
    <t>DB2 Storage (GiB)</t>
  </si>
  <si>
    <t>Total GiBs</t>
  </si>
  <si>
    <t>Memory GiB per JVM</t>
  </si>
  <si>
    <t>DB Storage (GiB)</t>
  </si>
  <si>
    <t>Core Application vCPUs -----&gt;</t>
  </si>
  <si>
    <t>vCPUs per JVM</t>
  </si>
  <si>
    <t>vCPUs to Add to Final</t>
  </si>
  <si>
    <t>DB2 Size for vCPUs &amp; Memory</t>
  </si>
  <si>
    <t>Install Monitor w/Existing Database</t>
  </si>
  <si>
    <t>vCPUs per Socket</t>
  </si>
  <si>
    <t>CPU Socket Count</t>
  </si>
  <si>
    <t>CP4D Needed?</t>
  </si>
  <si>
    <t>Isolate DB?</t>
  </si>
  <si>
    <t>Main Conf</t>
  </si>
  <si>
    <t>MVI Conf</t>
  </si>
  <si>
    <t>DB Conf</t>
  </si>
  <si>
    <t>Total File System Storage (GiB)</t>
  </si>
  <si>
    <t>Total DB Storage (GiB)</t>
  </si>
  <si>
    <t>System Configuration Results</t>
  </si>
  <si>
    <t>Beyond Large</t>
  </si>
  <si>
    <t xml:space="preserve">Isolate DB2 Databases on Single Server? </t>
  </si>
  <si>
    <r>
      <t>vCPUs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</si>
  <si>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rPr>
        <b/>
        <i/>
        <sz val="18"/>
        <color theme="1"/>
        <rFont val="Calibri"/>
        <family val="2"/>
        <scheme val="minor"/>
      </rPr>
      <t>Production Environment</t>
    </r>
    <r>
      <rPr>
        <sz val="18"/>
        <color theme="1"/>
        <rFont val="Calibri"/>
        <family val="2"/>
        <scheme val="minor"/>
      </rPr>
      <t xml:space="preserve"> Calculation Details</t>
    </r>
  </si>
  <si>
    <t xml:space="preserve">TOTAL vCPUs:       </t>
  </si>
  <si>
    <t>Core Application Memory (GiB) -----&gt;</t>
  </si>
  <si>
    <t xml:space="preserve">TOTAL Memory (GiB):       </t>
  </si>
  <si>
    <t>Storage (GiB)</t>
  </si>
  <si>
    <t>Core Applications File System (GiB) -----&gt;</t>
  </si>
  <si>
    <t xml:space="preserve">Additional Applications vCPU Totals:       </t>
  </si>
  <si>
    <t xml:space="preserve">Additional Applications Memory (GiB) Totals:       </t>
  </si>
  <si>
    <t xml:space="preserve">Cluster Wide Memory (GiB) Totals:       </t>
  </si>
  <si>
    <t xml:space="preserve">Cluster Wide vCPU Totals:       </t>
  </si>
  <si>
    <t xml:space="preserve">Additional Applications File System (GiB) Totals:       </t>
  </si>
  <si>
    <t xml:space="preserve">Cluster Wide File System (GiB) Totals:       </t>
  </si>
  <si>
    <t xml:space="preserve">Additional Applications DB (GiB) Totals:       </t>
  </si>
  <si>
    <t xml:space="preserve">TOTAL DB Storage (GiB):       </t>
  </si>
  <si>
    <t xml:space="preserve">TOTAL File System Storage (GiB):       </t>
  </si>
  <si>
    <t>Core Applications GPUs -----&gt;</t>
  </si>
  <si>
    <t>OpenShift Master Node(s) Totals</t>
  </si>
  <si>
    <t>New Calculator - Major Update - Many Changes</t>
  </si>
  <si>
    <t>Added Option for Development DB Storage Size Selection - Equal Prod or Equal Calculated</t>
  </si>
  <si>
    <t>Manage + Health Updated to be a Single Allocation</t>
  </si>
  <si>
    <t>1.5 core, 9 gb for each JVM</t>
  </si>
  <si>
    <r>
      <t>Current 
UI JVMs</t>
    </r>
    <r>
      <rPr>
        <vertAlign val="superscript"/>
        <sz val="12"/>
        <color theme="1"/>
        <rFont val="Calibri (Body)"/>
      </rPr>
      <t>4</t>
    </r>
  </si>
  <si>
    <t>OpenShift Master Node Requirements</t>
  </si>
  <si>
    <t>Production Cluster TOTALS</t>
  </si>
  <si>
    <t>Node Count</t>
  </si>
  <si>
    <t>Total Master Node Requirements</t>
  </si>
  <si>
    <t>Remove if 'existing DB - Monitor' is "Y"</t>
  </si>
  <si>
    <t>Remove if 'existing DB Manage' is "Y"</t>
  </si>
  <si>
    <t>v8_9</t>
  </si>
  <si>
    <t>Added Manage Specific JVM Requirements when Manage is selected as "Y" - User input fields</t>
  </si>
  <si>
    <t>Updated the alert flag for isolated DB2 server configuration to check when more servers are configured than database instances needed.</t>
  </si>
  <si>
    <t>Added OpenShift Master Node totals in the top level summary</t>
  </si>
  <si>
    <t>Updated the OpenShift Master Node summary totals in the System Configuration Results</t>
  </si>
  <si>
    <t>Updated the development environments to not count DB2 allocation if "use existing database" flag is set to "Y".  This is set for both Manage and Monitor Database flags.</t>
  </si>
  <si>
    <r>
      <t xml:space="preserve">***For </t>
    </r>
    <r>
      <rPr>
        <b/>
        <sz val="14"/>
        <color rgb="FFFF0000"/>
        <rFont val="Calibri (Body)"/>
      </rPr>
      <t>GUIDANCE</t>
    </r>
    <r>
      <rPr>
        <b/>
        <sz val="14"/>
        <color theme="1"/>
        <rFont val="Calibri"/>
        <family val="2"/>
        <scheme val="minor"/>
      </rPr>
      <t xml:space="preserve"> Purpose Only***  -  Enter Inputs in Yellow Cells Only</t>
    </r>
  </si>
  <si>
    <t>Secondary (Optional)</t>
  </si>
  <si>
    <t>v8_10</t>
  </si>
  <si>
    <t>Updated t-shirt size definitions for Monitor tied to I/O Points</t>
  </si>
  <si>
    <t>Allocation is not tied to size for Monitor, Predict, and Assist</t>
  </si>
  <si>
    <t>dev/xs</t>
  </si>
  <si>
    <t>sm</t>
  </si>
  <si>
    <t>md</t>
  </si>
  <si>
    <t>lg</t>
  </si>
  <si>
    <t>IBM® Maximo® Application Suite Infrastructure Calculator - v8_10</t>
  </si>
  <si>
    <t>Cognos</t>
  </si>
  <si>
    <t>Deploy Cognos?</t>
  </si>
  <si>
    <t xml:space="preserve">Manage - (MIF, Rprt, Crontask) + Cognos  </t>
  </si>
  <si>
    <t>Added Cognos Configuration Option for Manage</t>
  </si>
  <si>
    <t>Additional Manage Options</t>
  </si>
  <si>
    <t>Fixed Development Calculations related to MongoDB</t>
  </si>
  <si>
    <r>
      <rPr>
        <b/>
        <i/>
        <sz val="18"/>
        <color theme="1"/>
        <rFont val="Calibri"/>
        <family val="2"/>
        <scheme val="minor"/>
      </rPr>
      <t>Development Environment</t>
    </r>
    <r>
      <rPr>
        <sz val="18"/>
        <color theme="1"/>
        <rFont val="Calibri"/>
        <family val="2"/>
        <scheme val="minor"/>
      </rPr>
      <t xml:space="preserve"> Calculation Details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</si>
</sst>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  <numFmt numFmtId="168" formatCode="_(&quot;$&quot;* #,##0.0000_);_(&quot;$&quot;* \(#,##0.0000\);_(&quot;$&quot;* &quot;-&quot;??_);_(@_)"/>
    <numFmt numFmtId="169" formatCode="_-&quot;£&quot;* #,##0_-;\-&quot;£&quot;* #,##0_-;_-&quot;£&quot;* &quot;-&quot;??_-;_-@_-"/>
    <numFmt numFmtId="170" formatCode="#,###;[Red]\(#,###\);&quot;-&quot;"/>
    <numFmt numFmtId="171" formatCode="#,###.###;[Red]\(#,###\);&quot;-&quot;"/>
    <numFmt numFmtId="172" formatCode="General;[Red]\(#,###.#\);&quot;-&quot;"/>
    <numFmt numFmtId="173" formatCode="#,###.0##;[Red]\(#,###\);&quot;-&quot;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color theme="1"/>
      <name val="Calibri (Body)"/>
    </font>
    <font>
      <sz val="10"/>
      <color theme="1"/>
      <name val="Calibri"/>
      <family val="2"/>
      <scheme val="minor"/>
    </font>
    <font>
      <b/>
      <sz val="12"/>
      <color theme="1"/>
      <name val="Calibri (Body)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2"/>
      <color rgb="FFFFFF00"/>
      <name val="Calibri"/>
      <family val="2"/>
      <scheme val="minor"/>
    </font>
    <font>
      <b/>
      <sz val="14"/>
      <color rgb="FFFF0000"/>
      <name val="Calibri (Body)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70F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AD7E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F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1FFFF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dashDot">
        <color auto="1"/>
      </top>
      <bottom/>
      <diagonal/>
    </border>
    <border>
      <left/>
      <right style="medium">
        <color indexed="64"/>
      </right>
      <top style="dashDot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dashDot">
        <color auto="1"/>
      </top>
      <bottom/>
      <diagonal/>
    </border>
    <border>
      <left style="thin">
        <color theme="1"/>
      </left>
      <right style="thin">
        <color theme="1"/>
      </right>
      <top style="dashDot">
        <color auto="1"/>
      </top>
      <bottom/>
      <diagonal/>
    </border>
    <border>
      <left style="thin">
        <color theme="1"/>
      </left>
      <right style="medium">
        <color theme="1"/>
      </right>
      <top style="dashDot">
        <color auto="1"/>
      </top>
      <bottom/>
      <diagonal/>
    </border>
    <border>
      <left style="medium">
        <color indexed="64"/>
      </left>
      <right/>
      <top style="dashDot">
        <color auto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dashDot">
        <color auto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Dot">
        <color auto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dashDot">
        <color auto="1"/>
      </top>
      <bottom/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599">
    <xf numFmtId="0" fontId="0" fillId="0" borderId="0" xfId="0"/>
    <xf numFmtId="0" fontId="0" fillId="0" borderId="4" xfId="0" applyBorder="1"/>
    <xf numFmtId="0" fontId="0" fillId="0" borderId="5" xfId="0" applyBorder="1"/>
    <xf numFmtId="0" fontId="0" fillId="7" borderId="4" xfId="0" applyFill="1" applyBorder="1"/>
    <xf numFmtId="0" fontId="0" fillId="7" borderId="5" xfId="0" applyFill="1" applyBorder="1"/>
    <xf numFmtId="0" fontId="0" fillId="0" borderId="6" xfId="0" applyBorder="1"/>
    <xf numFmtId="0" fontId="0" fillId="0" borderId="18" xfId="0" applyBorder="1"/>
    <xf numFmtId="0" fontId="0" fillId="0" borderId="32" xfId="0" applyBorder="1"/>
    <xf numFmtId="0" fontId="0" fillId="0" borderId="28" xfId="0" applyBorder="1"/>
    <xf numFmtId="0" fontId="0" fillId="0" borderId="14" xfId="0" applyBorder="1"/>
    <xf numFmtId="0" fontId="0" fillId="0" borderId="29" xfId="0" applyBorder="1"/>
    <xf numFmtId="0" fontId="3" fillId="0" borderId="3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7" borderId="0" xfId="0" applyFill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0" fillId="7" borderId="14" xfId="0" applyFill="1" applyBorder="1"/>
    <xf numFmtId="0" fontId="6" fillId="0" borderId="3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43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6" xfId="0" applyFont="1" applyBorder="1" applyAlignment="1">
      <alignment horizontal="center"/>
    </xf>
    <xf numFmtId="167" fontId="0" fillId="0" borderId="0" xfId="0" applyNumberFormat="1"/>
    <xf numFmtId="0" fontId="6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0" fillId="0" borderId="0" xfId="0" applyNumberFormat="1"/>
    <xf numFmtId="0" fontId="0" fillId="0" borderId="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7" borderId="0" xfId="0" applyFill="1"/>
    <xf numFmtId="0" fontId="0" fillId="7" borderId="10" xfId="0" applyFill="1" applyBorder="1"/>
    <xf numFmtId="0" fontId="0" fillId="7" borderId="20" xfId="0" applyFill="1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36" xfId="0" applyBorder="1"/>
    <xf numFmtId="0" fontId="0" fillId="0" borderId="47" xfId="0" applyBorder="1"/>
    <xf numFmtId="0" fontId="0" fillId="0" borderId="51" xfId="0" applyBorder="1"/>
    <xf numFmtId="0" fontId="0" fillId="0" borderId="38" xfId="0" applyBorder="1"/>
    <xf numFmtId="0" fontId="0" fillId="0" borderId="61" xfId="0" applyBorder="1"/>
    <xf numFmtId="0" fontId="0" fillId="0" borderId="49" xfId="0" applyBorder="1"/>
    <xf numFmtId="0" fontId="0" fillId="2" borderId="57" xfId="0" applyFill="1" applyBorder="1" applyProtection="1">
      <protection locked="0"/>
    </xf>
    <xf numFmtId="0" fontId="0" fillId="2" borderId="58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58" xfId="0" applyFill="1" applyBorder="1" applyAlignment="1" applyProtection="1">
      <alignment horizontal="right"/>
      <protection locked="0"/>
    </xf>
    <xf numFmtId="0" fontId="0" fillId="4" borderId="0" xfId="0" applyFill="1"/>
    <xf numFmtId="166" fontId="0" fillId="0" borderId="8" xfId="1" applyNumberFormat="1" applyFont="1" applyBorder="1" applyAlignment="1" applyProtection="1">
      <alignment horizontal="center"/>
    </xf>
    <xf numFmtId="166" fontId="0" fillId="0" borderId="8" xfId="1" applyNumberFormat="1" applyFont="1" applyBorder="1" applyProtection="1"/>
    <xf numFmtId="0" fontId="0" fillId="0" borderId="11" xfId="0" applyBorder="1"/>
    <xf numFmtId="0" fontId="0" fillId="0" borderId="15" xfId="0" applyBorder="1"/>
    <xf numFmtId="0" fontId="0" fillId="0" borderId="41" xfId="0" applyBorder="1"/>
    <xf numFmtId="0" fontId="0" fillId="0" borderId="44" xfId="0" applyBorder="1"/>
    <xf numFmtId="0" fontId="0" fillId="0" borderId="1" xfId="0" applyBorder="1"/>
    <xf numFmtId="0" fontId="0" fillId="11" borderId="58" xfId="0" applyFill="1" applyBorder="1" applyAlignment="1">
      <alignment horizontal="right"/>
    </xf>
    <xf numFmtId="0" fontId="13" fillId="0" borderId="0" xfId="0" applyFont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51" xfId="0" applyBorder="1" applyAlignment="1">
      <alignment horizontal="center" vertical="top"/>
    </xf>
    <xf numFmtId="0" fontId="0" fillId="0" borderId="0" xfId="0" applyProtection="1">
      <protection hidden="1"/>
    </xf>
    <xf numFmtId="166" fontId="0" fillId="0" borderId="8" xfId="1" applyNumberFormat="1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 vertical="top"/>
      <protection hidden="1"/>
    </xf>
    <xf numFmtId="0" fontId="0" fillId="0" borderId="19" xfId="0" applyBorder="1" applyAlignment="1" applyProtection="1">
      <alignment horizontal="center" vertical="top"/>
      <protection hidden="1"/>
    </xf>
    <xf numFmtId="0" fontId="0" fillId="0" borderId="70" xfId="0" applyBorder="1" applyAlignment="1" applyProtection="1">
      <alignment horizontal="center" vertical="top"/>
      <protection hidden="1"/>
    </xf>
    <xf numFmtId="166" fontId="0" fillId="0" borderId="9" xfId="1" applyNumberFormat="1" applyFont="1" applyBorder="1" applyProtection="1"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top"/>
      <protection hidden="1"/>
    </xf>
    <xf numFmtId="0" fontId="0" fillId="0" borderId="7" xfId="0" applyBorder="1" applyProtection="1">
      <protection hidden="1"/>
    </xf>
    <xf numFmtId="0" fontId="0" fillId="0" borderId="22" xfId="0" applyBorder="1" applyProtection="1">
      <protection hidden="1"/>
    </xf>
    <xf numFmtId="0" fontId="16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58" xfId="0" applyBorder="1" applyProtection="1">
      <protection hidden="1"/>
    </xf>
    <xf numFmtId="3" fontId="0" fillId="0" borderId="42" xfId="0" applyNumberFormat="1" applyBorder="1" applyProtection="1">
      <protection hidden="1"/>
    </xf>
    <xf numFmtId="3" fontId="0" fillId="4" borderId="12" xfId="0" applyNumberFormat="1" applyFill="1" applyBorder="1" applyProtection="1">
      <protection hidden="1"/>
    </xf>
    <xf numFmtId="3" fontId="0" fillId="0" borderId="12" xfId="0" applyNumberFormat="1" applyBorder="1" applyProtection="1">
      <protection hidden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9" xfId="0" applyFont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3" fillId="0" borderId="39" xfId="0" applyFont="1" applyBorder="1" applyProtection="1">
      <protection hidden="1"/>
    </xf>
    <xf numFmtId="0" fontId="3" fillId="0" borderId="39" xfId="0" applyFont="1" applyBorder="1" applyAlignment="1" applyProtection="1">
      <alignment horizontal="center" wrapText="1"/>
      <protection hidden="1"/>
    </xf>
    <xf numFmtId="0" fontId="3" fillId="6" borderId="16" xfId="0" applyFont="1" applyFill="1" applyBorder="1" applyProtection="1"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24" xfId="0" applyBorder="1" applyAlignment="1" applyProtection="1">
      <alignment wrapText="1"/>
      <protection hidden="1"/>
    </xf>
    <xf numFmtId="0" fontId="0" fillId="7" borderId="25" xfId="0" applyFill="1" applyBorder="1"/>
    <xf numFmtId="0" fontId="0" fillId="0" borderId="29" xfId="0" applyBorder="1" applyAlignment="1" applyProtection="1">
      <alignment horizontal="center" vertical="top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27" xfId="0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18" xfId="0" applyBorder="1" applyAlignment="1">
      <alignment horizontal="center" vertical="top"/>
    </xf>
    <xf numFmtId="0" fontId="0" fillId="7" borderId="28" xfId="0" applyFill="1" applyBorder="1"/>
    <xf numFmtId="0" fontId="0" fillId="9" borderId="0" xfId="0" applyFill="1"/>
    <xf numFmtId="0" fontId="0" fillId="0" borderId="10" xfId="0" applyBorder="1"/>
    <xf numFmtId="0" fontId="0" fillId="0" borderId="20" xfId="0" applyBorder="1"/>
    <xf numFmtId="0" fontId="0" fillId="0" borderId="25" xfId="0" applyBorder="1"/>
    <xf numFmtId="0" fontId="0" fillId="0" borderId="39" xfId="0" applyBorder="1"/>
    <xf numFmtId="0" fontId="0" fillId="4" borderId="14" xfId="0" applyFill="1" applyBorder="1"/>
    <xf numFmtId="0" fontId="0" fillId="9" borderId="28" xfId="0" applyFill="1" applyBorder="1"/>
    <xf numFmtId="0" fontId="0" fillId="10" borderId="28" xfId="0" applyFill="1" applyBorder="1"/>
    <xf numFmtId="0" fontId="0" fillId="17" borderId="29" xfId="0" applyFill="1" applyBorder="1"/>
    <xf numFmtId="0" fontId="0" fillId="4" borderId="18" xfId="0" applyFill="1" applyBorder="1"/>
    <xf numFmtId="0" fontId="0" fillId="10" borderId="0" xfId="0" applyFill="1"/>
    <xf numFmtId="0" fontId="0" fillId="17" borderId="32" xfId="0" applyFill="1" applyBorder="1"/>
    <xf numFmtId="0" fontId="0" fillId="0" borderId="2" xfId="0" applyBorder="1"/>
    <xf numFmtId="0" fontId="0" fillId="0" borderId="3" xfId="0" applyBorder="1"/>
    <xf numFmtId="0" fontId="0" fillId="18" borderId="39" xfId="0" applyFill="1" applyBorder="1"/>
    <xf numFmtId="0" fontId="0" fillId="10" borderId="5" xfId="0" applyFill="1" applyBorder="1"/>
    <xf numFmtId="0" fontId="0" fillId="17" borderId="6" xfId="0" applyFill="1" applyBorder="1"/>
    <xf numFmtId="0" fontId="6" fillId="0" borderId="10" xfId="0" applyFont="1" applyBorder="1" applyAlignment="1">
      <alignment horizontal="center" vertical="center"/>
    </xf>
    <xf numFmtId="0" fontId="0" fillId="4" borderId="5" xfId="0" applyFill="1" applyBorder="1"/>
    <xf numFmtId="0" fontId="0" fillId="9" borderId="5" xfId="0" applyFill="1" applyBorder="1"/>
    <xf numFmtId="0" fontId="0" fillId="4" borderId="28" xfId="0" applyFill="1" applyBorder="1"/>
    <xf numFmtId="0" fontId="3" fillId="0" borderId="0" xfId="0" applyFont="1" applyAlignment="1" applyProtection="1">
      <alignment horizontal="right"/>
      <protection hidden="1"/>
    </xf>
    <xf numFmtId="0" fontId="6" fillId="0" borderId="25" xfId="0" applyFont="1" applyBorder="1" applyAlignment="1">
      <alignment horizontal="center" vertical="center"/>
    </xf>
    <xf numFmtId="0" fontId="17" fillId="4" borderId="5" xfId="0" applyFont="1" applyFill="1" applyBorder="1"/>
    <xf numFmtId="0" fontId="17" fillId="9" borderId="5" xfId="0" applyFont="1" applyFill="1" applyBorder="1"/>
    <xf numFmtId="0" fontId="0" fillId="7" borderId="32" xfId="0" applyFill="1" applyBorder="1"/>
    <xf numFmtId="0" fontId="0" fillId="2" borderId="6" xfId="0" applyFill="1" applyBorder="1"/>
    <xf numFmtId="0" fontId="0" fillId="2" borderId="32" xfId="0" applyFill="1" applyBorder="1"/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18" borderId="10" xfId="0" applyFill="1" applyBorder="1"/>
    <xf numFmtId="0" fontId="0" fillId="7" borderId="18" xfId="0" applyFill="1" applyBorder="1"/>
    <xf numFmtId="0" fontId="0" fillId="7" borderId="6" xfId="0" applyFill="1" applyBorder="1"/>
    <xf numFmtId="0" fontId="0" fillId="7" borderId="29" xfId="0" applyFill="1" applyBorder="1"/>
    <xf numFmtId="0" fontId="17" fillId="10" borderId="5" xfId="0" applyFont="1" applyFill="1" applyBorder="1"/>
    <xf numFmtId="0" fontId="17" fillId="4" borderId="0" xfId="0" applyFont="1" applyFill="1"/>
    <xf numFmtId="0" fontId="17" fillId="9" borderId="0" xfId="0" applyFont="1" applyFill="1"/>
    <xf numFmtId="0" fontId="17" fillId="10" borderId="0" xfId="0" applyFont="1" applyFill="1"/>
    <xf numFmtId="0" fontId="17" fillId="4" borderId="28" xfId="0" applyFont="1" applyFill="1" applyBorder="1"/>
    <xf numFmtId="0" fontId="17" fillId="9" borderId="28" xfId="0" applyFont="1" applyFill="1" applyBorder="1"/>
    <xf numFmtId="0" fontId="17" fillId="10" borderId="28" xfId="0" applyFont="1" applyFill="1" applyBorder="1"/>
    <xf numFmtId="0" fontId="17" fillId="17" borderId="6" xfId="0" applyFont="1" applyFill="1" applyBorder="1"/>
    <xf numFmtId="0" fontId="17" fillId="17" borderId="32" xfId="0" applyFont="1" applyFill="1" applyBorder="1"/>
    <xf numFmtId="0" fontId="1" fillId="7" borderId="20" xfId="0" applyFont="1" applyFill="1" applyBorder="1"/>
    <xf numFmtId="0" fontId="13" fillId="19" borderId="10" xfId="0" applyFont="1" applyFill="1" applyBorder="1"/>
    <xf numFmtId="0" fontId="13" fillId="19" borderId="20" xfId="0" applyFont="1" applyFill="1" applyBorder="1"/>
    <xf numFmtId="0" fontId="13" fillId="19" borderId="25" xfId="0" applyFont="1" applyFill="1" applyBorder="1"/>
    <xf numFmtId="0" fontId="20" fillId="4" borderId="0" xfId="0" applyFont="1" applyFill="1"/>
    <xf numFmtId="0" fontId="20" fillId="9" borderId="0" xfId="0" applyFont="1" applyFill="1"/>
    <xf numFmtId="0" fontId="20" fillId="10" borderId="0" xfId="0" applyFont="1" applyFill="1"/>
    <xf numFmtId="0" fontId="20" fillId="17" borderId="32" xfId="0" applyFont="1" applyFill="1" applyBorder="1"/>
    <xf numFmtId="0" fontId="20" fillId="4" borderId="28" xfId="0" applyFont="1" applyFill="1" applyBorder="1"/>
    <xf numFmtId="0" fontId="20" fillId="9" borderId="28" xfId="0" applyFont="1" applyFill="1" applyBorder="1"/>
    <xf numFmtId="0" fontId="20" fillId="10" borderId="28" xfId="0" applyFont="1" applyFill="1" applyBorder="1"/>
    <xf numFmtId="0" fontId="20" fillId="17" borderId="29" xfId="0" applyFont="1" applyFill="1" applyBorder="1"/>
    <xf numFmtId="0" fontId="0" fillId="4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7" borderId="3" xfId="0" applyFill="1" applyBorder="1"/>
    <xf numFmtId="0" fontId="6" fillId="0" borderId="1" xfId="0" applyFont="1" applyBorder="1" applyAlignment="1">
      <alignment horizontal="center"/>
    </xf>
    <xf numFmtId="0" fontId="0" fillId="0" borderId="3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0" xfId="0" applyBorder="1" applyAlignment="1">
      <alignment horizontal="center"/>
    </xf>
    <xf numFmtId="166" fontId="0" fillId="0" borderId="71" xfId="0" applyNumberFormat="1" applyBorder="1" applyAlignment="1" applyProtection="1">
      <alignment horizontal="center"/>
      <protection hidden="1"/>
    </xf>
    <xf numFmtId="0" fontId="6" fillId="20" borderId="10" xfId="0" applyFont="1" applyFill="1" applyBorder="1" applyAlignment="1">
      <alignment horizontal="center"/>
    </xf>
    <xf numFmtId="0" fontId="0" fillId="20" borderId="39" xfId="0" applyFill="1" applyBorder="1" applyAlignment="1">
      <alignment horizontal="center" vertical="top"/>
    </xf>
    <xf numFmtId="0" fontId="0" fillId="20" borderId="57" xfId="0" applyFill="1" applyBorder="1" applyAlignment="1">
      <alignment horizontal="center" vertical="top"/>
    </xf>
    <xf numFmtId="0" fontId="0" fillId="20" borderId="20" xfId="0" applyFill="1" applyBorder="1" applyAlignment="1">
      <alignment horizontal="center" vertical="top"/>
    </xf>
    <xf numFmtId="0" fontId="0" fillId="20" borderId="59" xfId="0" applyFill="1" applyBorder="1" applyAlignment="1">
      <alignment horizontal="center" vertical="top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166" fontId="0" fillId="12" borderId="61" xfId="1" applyNumberFormat="1" applyFont="1" applyFill="1" applyBorder="1" applyAlignment="1" applyProtection="1">
      <alignment horizontal="center"/>
    </xf>
    <xf numFmtId="166" fontId="0" fillId="12" borderId="49" xfId="1" applyNumberFormat="1" applyFont="1" applyFill="1" applyBorder="1" applyAlignment="1" applyProtection="1">
      <alignment horizontal="center"/>
    </xf>
    <xf numFmtId="0" fontId="3" fillId="0" borderId="5" xfId="0" applyFont="1" applyBorder="1"/>
    <xf numFmtId="0" fontId="0" fillId="21" borderId="58" xfId="0" applyFill="1" applyBorder="1" applyAlignment="1" applyProtection="1">
      <alignment horizontal="right"/>
      <protection hidden="1"/>
    </xf>
    <xf numFmtId="0" fontId="0" fillId="21" borderId="10" xfId="0" applyFill="1" applyBorder="1" applyAlignment="1" applyProtection="1">
      <alignment horizontal="right"/>
      <protection hidden="1"/>
    </xf>
    <xf numFmtId="0" fontId="0" fillId="21" borderId="60" xfId="0" applyFill="1" applyBorder="1" applyAlignment="1" applyProtection="1">
      <alignment horizontal="right"/>
      <protection hidden="1"/>
    </xf>
    <xf numFmtId="0" fontId="0" fillId="21" borderId="59" xfId="0" applyFill="1" applyBorder="1" applyAlignment="1" applyProtection="1">
      <alignment horizontal="right"/>
      <protection hidden="1"/>
    </xf>
    <xf numFmtId="0" fontId="3" fillId="0" borderId="10" xfId="0" applyFont="1" applyBorder="1" applyAlignment="1">
      <alignment wrapText="1"/>
    </xf>
    <xf numFmtId="0" fontId="0" fillId="17" borderId="0" xfId="0" applyFill="1"/>
    <xf numFmtId="0" fontId="0" fillId="17" borderId="28" xfId="0" applyFill="1" applyBorder="1"/>
    <xf numFmtId="0" fontId="3" fillId="0" borderId="18" xfId="0" applyFont="1" applyBorder="1"/>
    <xf numFmtId="0" fontId="0" fillId="22" borderId="1" xfId="0" applyFill="1" applyBorder="1" applyAlignment="1">
      <alignment horizontal="right"/>
    </xf>
    <xf numFmtId="0" fontId="0" fillId="22" borderId="2" xfId="0" applyFill="1" applyBorder="1" applyAlignment="1">
      <alignment horizontal="right"/>
    </xf>
    <xf numFmtId="0" fontId="17" fillId="16" borderId="0" xfId="0" applyFont="1" applyFill="1"/>
    <xf numFmtId="0" fontId="17" fillId="16" borderId="0" xfId="0" applyFont="1" applyFill="1" applyAlignment="1" applyProtection="1">
      <alignment horizontal="center"/>
      <protection hidden="1"/>
    </xf>
    <xf numFmtId="0" fontId="0" fillId="0" borderId="5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9" xfId="0" applyBorder="1" applyAlignment="1">
      <alignment horizontal="right" vertical="center"/>
    </xf>
    <xf numFmtId="0" fontId="0" fillId="7" borderId="36" xfId="0" applyFill="1" applyBorder="1" applyAlignment="1">
      <alignment horizontal="center" vertical="top"/>
    </xf>
    <xf numFmtId="0" fontId="0" fillId="7" borderId="57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9" xfId="0" applyFill="1" applyBorder="1" applyAlignment="1" applyProtection="1">
      <alignment horizontal="center" vertical="top"/>
      <protection hidden="1"/>
    </xf>
    <xf numFmtId="0" fontId="0" fillId="7" borderId="51" xfId="0" applyFill="1" applyBorder="1" applyAlignment="1">
      <alignment horizontal="center" vertical="top"/>
    </xf>
    <xf numFmtId="0" fontId="0" fillId="7" borderId="59" xfId="0" applyFill="1" applyBorder="1" applyAlignment="1">
      <alignment horizontal="center" vertical="top"/>
    </xf>
    <xf numFmtId="0" fontId="0" fillId="7" borderId="3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9" xfId="0" applyFill="1" applyBorder="1" applyAlignment="1" applyProtection="1">
      <alignment horizontal="center" vertical="top"/>
      <protection hidden="1"/>
    </xf>
    <xf numFmtId="0" fontId="0" fillId="23" borderId="39" xfId="0" applyFill="1" applyBorder="1" applyAlignment="1">
      <alignment horizontal="right" vertical="center"/>
    </xf>
    <xf numFmtId="0" fontId="6" fillId="23" borderId="39" xfId="0" applyFon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top"/>
    </xf>
    <xf numFmtId="0" fontId="0" fillId="23" borderId="39" xfId="0" applyFill="1" applyBorder="1" applyAlignment="1">
      <alignment horizontal="center" vertical="top"/>
    </xf>
    <xf numFmtId="0" fontId="0" fillId="23" borderId="27" xfId="0" applyFill="1" applyBorder="1" applyAlignment="1">
      <alignment horizontal="center" vertical="top"/>
    </xf>
    <xf numFmtId="0" fontId="0" fillId="23" borderId="12" xfId="0" applyFill="1" applyBorder="1" applyAlignment="1">
      <alignment horizontal="center" vertical="top"/>
    </xf>
    <xf numFmtId="0" fontId="0" fillId="23" borderId="3" xfId="0" applyFill="1" applyBorder="1" applyAlignment="1" applyProtection="1">
      <alignment horizontal="center" vertical="top"/>
      <protection hidden="1"/>
    </xf>
    <xf numFmtId="0" fontId="0" fillId="7" borderId="30" xfId="0" applyFill="1" applyBorder="1" applyAlignment="1">
      <alignment horizontal="center" vertical="top"/>
    </xf>
    <xf numFmtId="0" fontId="0" fillId="7" borderId="70" xfId="0" applyFill="1" applyBorder="1" applyAlignment="1" applyProtection="1">
      <alignment horizontal="center" vertical="top"/>
      <protection hidden="1"/>
    </xf>
    <xf numFmtId="0" fontId="3" fillId="0" borderId="1" xfId="0" applyFont="1" applyBorder="1"/>
    <xf numFmtId="0" fontId="0" fillId="13" borderId="57" xfId="0" applyFill="1" applyBorder="1" applyAlignment="1" applyProtection="1">
      <alignment horizontal="right"/>
      <protection hidden="1"/>
    </xf>
    <xf numFmtId="0" fontId="0" fillId="13" borderId="58" xfId="0" applyFill="1" applyBorder="1" applyAlignment="1" applyProtection="1">
      <alignment horizontal="right"/>
      <protection hidden="1"/>
    </xf>
    <xf numFmtId="0" fontId="0" fillId="13" borderId="58" xfId="0" applyFill="1" applyBorder="1" applyAlignment="1" applyProtection="1">
      <alignment horizontal="right" vertical="center"/>
      <protection hidden="1"/>
    </xf>
    <xf numFmtId="0" fontId="0" fillId="24" borderId="39" xfId="0" applyFill="1" applyBorder="1"/>
    <xf numFmtId="0" fontId="3" fillId="0" borderId="1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5" xfId="0" applyBorder="1" applyProtection="1">
      <protection hidden="1"/>
    </xf>
    <xf numFmtId="0" fontId="3" fillId="21" borderId="39" xfId="0" applyFont="1" applyFill="1" applyBorder="1" applyAlignment="1" applyProtection="1">
      <alignment horizontal="center"/>
      <protection hidden="1"/>
    </xf>
    <xf numFmtId="0" fontId="0" fillId="10" borderId="58" xfId="0" applyFill="1" applyBorder="1" applyAlignment="1" applyProtection="1">
      <alignment horizontal="right"/>
      <protection hidden="1"/>
    </xf>
    <xf numFmtId="0" fontId="0" fillId="10" borderId="36" xfId="0" applyFill="1" applyBorder="1" applyAlignment="1" applyProtection="1">
      <alignment horizontal="right"/>
      <protection hidden="1"/>
    </xf>
    <xf numFmtId="0" fontId="0" fillId="10" borderId="47" xfId="0" applyFill="1" applyBorder="1" applyAlignment="1" applyProtection="1">
      <alignment horizontal="right"/>
      <protection hidden="1"/>
    </xf>
    <xf numFmtId="0" fontId="3" fillId="0" borderId="0" xfId="0" applyFont="1"/>
    <xf numFmtId="0" fontId="0" fillId="21" borderId="57" xfId="0" applyFill="1" applyBorder="1" applyAlignment="1" applyProtection="1">
      <alignment horizontal="right"/>
      <protection hidden="1"/>
    </xf>
    <xf numFmtId="0" fontId="0" fillId="13" borderId="36" xfId="0" applyFill="1" applyBorder="1" applyAlignment="1" applyProtection="1">
      <alignment horizontal="right"/>
      <protection hidden="1"/>
    </xf>
    <xf numFmtId="0" fontId="0" fillId="13" borderId="47" xfId="0" applyFill="1" applyBorder="1" applyAlignment="1" applyProtection="1">
      <alignment horizontal="right"/>
      <protection hidden="1"/>
    </xf>
    <xf numFmtId="0" fontId="0" fillId="13" borderId="51" xfId="0" applyFill="1" applyBorder="1" applyAlignment="1" applyProtection="1">
      <alignment horizontal="right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11" borderId="18" xfId="0" applyFill="1" applyBorder="1"/>
    <xf numFmtId="0" fontId="17" fillId="11" borderId="0" xfId="0" applyFont="1" applyFill="1"/>
    <xf numFmtId="0" fontId="0" fillId="11" borderId="32" xfId="0" applyFill="1" applyBorder="1"/>
    <xf numFmtId="0" fontId="0" fillId="11" borderId="20" xfId="0" applyFill="1" applyBorder="1"/>
    <xf numFmtId="0" fontId="0" fillId="0" borderId="82" xfId="0" applyBorder="1" applyProtection="1">
      <protection hidden="1"/>
    </xf>
    <xf numFmtId="0" fontId="0" fillId="0" borderId="35" xfId="0" applyBorder="1" applyAlignment="1" applyProtection="1">
      <alignment wrapText="1"/>
      <protection hidden="1"/>
    </xf>
    <xf numFmtId="0" fontId="3" fillId="24" borderId="7" xfId="0" applyFont="1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right"/>
      <protection hidden="1"/>
    </xf>
    <xf numFmtId="0" fontId="0" fillId="10" borderId="59" xfId="0" applyFill="1" applyBorder="1" applyAlignment="1" applyProtection="1">
      <alignment horizontal="right"/>
      <protection hidden="1"/>
    </xf>
    <xf numFmtId="170" fontId="0" fillId="7" borderId="10" xfId="0" applyNumberFormat="1" applyFill="1" applyBorder="1"/>
    <xf numFmtId="170" fontId="0" fillId="7" borderId="20" xfId="0" applyNumberFormat="1" applyFill="1" applyBorder="1"/>
    <xf numFmtId="170" fontId="0" fillId="7" borderId="56" xfId="0" applyNumberFormat="1" applyFill="1" applyBorder="1"/>
    <xf numFmtId="170" fontId="0" fillId="5" borderId="58" xfId="0" applyNumberFormat="1" applyFill="1" applyBorder="1" applyAlignment="1" applyProtection="1">
      <alignment horizontal="center"/>
      <protection hidden="1"/>
    </xf>
    <xf numFmtId="170" fontId="0" fillId="7" borderId="25" xfId="0" applyNumberFormat="1" applyFill="1" applyBorder="1"/>
    <xf numFmtId="170" fontId="7" fillId="5" borderId="5" xfId="1" applyNumberFormat="1" applyFont="1" applyFill="1" applyBorder="1" applyAlignment="1" applyProtection="1">
      <alignment horizontal="center"/>
      <protection hidden="1"/>
    </xf>
    <xf numFmtId="170" fontId="7" fillId="5" borderId="0" xfId="1" applyNumberFormat="1" applyFont="1" applyFill="1" applyBorder="1" applyAlignment="1" applyProtection="1">
      <alignment horizontal="center"/>
      <protection hidden="1"/>
    </xf>
    <xf numFmtId="170" fontId="7" fillId="16" borderId="28" xfId="1" applyNumberFormat="1" applyFont="1" applyFill="1" applyBorder="1" applyAlignment="1" applyProtection="1">
      <alignment horizontal="center" vertical="center"/>
      <protection hidden="1"/>
    </xf>
    <xf numFmtId="170" fontId="0" fillId="2" borderId="9" xfId="1" applyNumberFormat="1" applyFont="1" applyFill="1" applyBorder="1" applyAlignment="1" applyProtection="1">
      <alignment horizontal="center"/>
      <protection locked="0"/>
    </xf>
    <xf numFmtId="170" fontId="0" fillId="2" borderId="24" xfId="1" applyNumberFormat="1" applyFont="1" applyFill="1" applyBorder="1" applyAlignment="1" applyProtection="1">
      <alignment horizontal="center"/>
      <protection locked="0"/>
    </xf>
    <xf numFmtId="170" fontId="0" fillId="2" borderId="19" xfId="1" applyNumberFormat="1" applyFont="1" applyFill="1" applyBorder="1" applyAlignment="1" applyProtection="1">
      <alignment horizontal="center"/>
      <protection locked="0"/>
    </xf>
    <xf numFmtId="170" fontId="0" fillId="2" borderId="35" xfId="1" applyNumberFormat="1" applyFont="1" applyFill="1" applyBorder="1" applyAlignment="1" applyProtection="1">
      <alignment horizontal="center"/>
      <protection locked="0"/>
    </xf>
    <xf numFmtId="170" fontId="3" fillId="3" borderId="39" xfId="0" applyNumberFormat="1" applyFont="1" applyFill="1" applyBorder="1" applyAlignment="1" applyProtection="1">
      <alignment horizontal="center"/>
      <protection hidden="1"/>
    </xf>
    <xf numFmtId="172" fontId="3" fillId="24" borderId="39" xfId="0" applyNumberFormat="1" applyFont="1" applyFill="1" applyBorder="1" applyAlignment="1" applyProtection="1">
      <alignment horizontal="center"/>
      <protection hidden="1"/>
    </xf>
    <xf numFmtId="172" fontId="0" fillId="5" borderId="57" xfId="0" applyNumberFormat="1" applyFill="1" applyBorder="1" applyAlignment="1" applyProtection="1">
      <alignment horizontal="center" vertical="top" readingOrder="1"/>
      <protection hidden="1"/>
    </xf>
    <xf numFmtId="172" fontId="0" fillId="5" borderId="58" xfId="0" applyNumberFormat="1" applyFill="1" applyBorder="1" applyAlignment="1" applyProtection="1">
      <alignment horizontal="center" vertical="top" readingOrder="1"/>
      <protection hidden="1"/>
    </xf>
    <xf numFmtId="172" fontId="0" fillId="5" borderId="58" xfId="0" applyNumberFormat="1" applyFill="1" applyBorder="1" applyAlignment="1" applyProtection="1">
      <alignment horizontal="center"/>
      <protection hidden="1"/>
    </xf>
    <xf numFmtId="172" fontId="3" fillId="3" borderId="39" xfId="0" applyNumberFormat="1" applyFont="1" applyFill="1" applyBorder="1" applyAlignment="1" applyProtection="1">
      <alignment horizontal="center" vertical="top" readingOrder="1"/>
      <protection hidden="1"/>
    </xf>
    <xf numFmtId="172" fontId="3" fillId="3" borderId="3" xfId="0" applyNumberFormat="1" applyFont="1" applyFill="1" applyBorder="1" applyAlignment="1" applyProtection="1">
      <alignment horizontal="center"/>
      <protection hidden="1"/>
    </xf>
    <xf numFmtId="172" fontId="0" fillId="0" borderId="57" xfId="0" applyNumberFormat="1" applyBorder="1" applyAlignment="1" applyProtection="1">
      <alignment horizontal="center"/>
      <protection hidden="1"/>
    </xf>
    <xf numFmtId="172" fontId="0" fillId="0" borderId="38" xfId="0" applyNumberFormat="1" applyBorder="1" applyAlignment="1" applyProtection="1">
      <alignment horizontal="center"/>
      <protection hidden="1"/>
    </xf>
    <xf numFmtId="172" fontId="0" fillId="0" borderId="58" xfId="0" applyNumberFormat="1" applyBorder="1" applyAlignment="1" applyProtection="1">
      <alignment horizontal="center"/>
      <protection hidden="1"/>
    </xf>
    <xf numFmtId="172" fontId="0" fillId="0" borderId="61" xfId="0" applyNumberFormat="1" applyBorder="1" applyAlignment="1" applyProtection="1">
      <alignment horizontal="center"/>
      <protection hidden="1"/>
    </xf>
    <xf numFmtId="172" fontId="0" fillId="0" borderId="59" xfId="0" applyNumberFormat="1" applyBorder="1" applyAlignment="1" applyProtection="1">
      <alignment horizontal="center"/>
      <protection hidden="1"/>
    </xf>
    <xf numFmtId="172" fontId="0" fillId="0" borderId="49" xfId="0" applyNumberFormat="1" applyBorder="1" applyAlignment="1" applyProtection="1">
      <alignment horizontal="center"/>
      <protection hidden="1"/>
    </xf>
    <xf numFmtId="172" fontId="0" fillId="5" borderId="59" xfId="0" applyNumberFormat="1" applyFill="1" applyBorder="1" applyAlignment="1" applyProtection="1">
      <alignment horizontal="center"/>
      <protection hidden="1"/>
    </xf>
    <xf numFmtId="172" fontId="3" fillId="3" borderId="25" xfId="0" applyNumberFormat="1" applyFont="1" applyFill="1" applyBorder="1" applyAlignment="1" applyProtection="1">
      <alignment horizontal="center"/>
      <protection hidden="1"/>
    </xf>
    <xf numFmtId="172" fontId="0" fillId="0" borderId="10" xfId="0" applyNumberFormat="1" applyBorder="1" applyAlignment="1" applyProtection="1">
      <alignment horizontal="center"/>
      <protection hidden="1"/>
    </xf>
    <xf numFmtId="172" fontId="0" fillId="0" borderId="6" xfId="0" applyNumberFormat="1" applyBorder="1" applyAlignment="1" applyProtection="1">
      <alignment horizontal="center"/>
      <protection hidden="1"/>
    </xf>
    <xf numFmtId="172" fontId="0" fillId="5" borderId="49" xfId="0" applyNumberFormat="1" applyFill="1" applyBorder="1" applyAlignment="1" applyProtection="1">
      <alignment horizontal="center"/>
      <protection hidden="1"/>
    </xf>
    <xf numFmtId="172" fontId="3" fillId="24" borderId="23" xfId="0" applyNumberFormat="1" applyFont="1" applyFill="1" applyBorder="1" applyAlignment="1" applyProtection="1">
      <alignment horizontal="center"/>
      <protection hidden="1"/>
    </xf>
    <xf numFmtId="172" fontId="3" fillId="24" borderId="24" xfId="0" applyNumberFormat="1" applyFont="1" applyFill="1" applyBorder="1" applyAlignment="1" applyProtection="1">
      <alignment horizontal="center"/>
      <protection hidden="1"/>
    </xf>
    <xf numFmtId="172" fontId="3" fillId="6" borderId="23" xfId="0" applyNumberFormat="1" applyFont="1" applyFill="1" applyBorder="1" applyAlignment="1" applyProtection="1">
      <alignment horizontal="center"/>
      <protection hidden="1"/>
    </xf>
    <xf numFmtId="172" fontId="3" fillId="6" borderId="24" xfId="0" applyNumberFormat="1" applyFont="1" applyFill="1" applyBorder="1" applyAlignment="1" applyProtection="1">
      <alignment horizontal="center"/>
      <protection hidden="1"/>
    </xf>
    <xf numFmtId="173" fontId="0" fillId="8" borderId="67" xfId="0" applyNumberFormat="1" applyFill="1" applyBorder="1" applyAlignment="1" applyProtection="1">
      <alignment horizontal="center" wrapText="1"/>
      <protection hidden="1"/>
    </xf>
    <xf numFmtId="173" fontId="0" fillId="8" borderId="68" xfId="0" applyNumberFormat="1" applyFill="1" applyBorder="1" applyAlignment="1" applyProtection="1">
      <alignment horizontal="center"/>
      <protection hidden="1"/>
    </xf>
    <xf numFmtId="173" fontId="0" fillId="8" borderId="69" xfId="0" applyNumberFormat="1" applyFill="1" applyBorder="1" applyAlignment="1" applyProtection="1">
      <alignment horizontal="center"/>
      <protection hidden="1"/>
    </xf>
    <xf numFmtId="170" fontId="7" fillId="5" borderId="2" xfId="1" applyNumberFormat="1" applyFont="1" applyFill="1" applyBorder="1" applyAlignment="1" applyProtection="1">
      <alignment horizontal="center"/>
      <protection hidden="1"/>
    </xf>
    <xf numFmtId="0" fontId="0" fillId="2" borderId="97" xfId="0" applyFill="1" applyBorder="1" applyAlignment="1" applyProtection="1">
      <alignment horizontal="center"/>
      <protection locked="0"/>
    </xf>
    <xf numFmtId="0" fontId="0" fillId="2" borderId="101" xfId="0" applyFill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173" fontId="0" fillId="7" borderId="91" xfId="0" applyNumberFormat="1" applyFill="1" applyBorder="1" applyAlignment="1" applyProtection="1">
      <alignment horizontal="center"/>
      <protection hidden="1"/>
    </xf>
    <xf numFmtId="173" fontId="0" fillId="7" borderId="92" xfId="0" applyNumberFormat="1" applyFill="1" applyBorder="1" applyAlignment="1" applyProtection="1">
      <alignment horizontal="center"/>
      <protection hidden="1"/>
    </xf>
    <xf numFmtId="170" fontId="7" fillId="7" borderId="105" xfId="1" applyNumberFormat="1" applyFont="1" applyFill="1" applyBorder="1" applyAlignment="1" applyProtection="1">
      <alignment horizontal="center"/>
      <protection hidden="1"/>
    </xf>
    <xf numFmtId="173" fontId="0" fillId="7" borderId="87" xfId="0" applyNumberFormat="1" applyFill="1" applyBorder="1" applyAlignment="1" applyProtection="1">
      <alignment horizontal="center"/>
      <protection hidden="1"/>
    </xf>
    <xf numFmtId="173" fontId="0" fillId="7" borderId="88" xfId="0" applyNumberFormat="1" applyFill="1" applyBorder="1" applyAlignment="1" applyProtection="1">
      <alignment horizontal="center"/>
      <protection hidden="1"/>
    </xf>
    <xf numFmtId="173" fontId="0" fillId="7" borderId="89" xfId="0" applyNumberFormat="1" applyFill="1" applyBorder="1" applyAlignment="1" applyProtection="1">
      <alignment horizontal="center"/>
      <protection hidden="1"/>
    </xf>
    <xf numFmtId="170" fontId="7" fillId="7" borderId="90" xfId="1" applyNumberFormat="1" applyFont="1" applyFill="1" applyBorder="1" applyAlignment="1" applyProtection="1">
      <alignment horizontal="center"/>
      <protection hidden="1"/>
    </xf>
    <xf numFmtId="173" fontId="0" fillId="7" borderId="93" xfId="0" applyNumberFormat="1" applyFill="1" applyBorder="1" applyAlignment="1" applyProtection="1">
      <alignment horizontal="center"/>
      <protection hidden="1"/>
    </xf>
    <xf numFmtId="166" fontId="0" fillId="2" borderId="57" xfId="0" applyNumberFormat="1" applyFill="1" applyBorder="1" applyAlignment="1" applyProtection="1">
      <alignment horizontal="center" vertical="center"/>
      <protection locked="0"/>
    </xf>
    <xf numFmtId="166" fontId="0" fillId="2" borderId="58" xfId="0" applyNumberFormat="1" applyFill="1" applyBorder="1" applyAlignment="1" applyProtection="1">
      <alignment vertical="center"/>
      <protection locked="0"/>
    </xf>
    <xf numFmtId="166" fontId="0" fillId="2" borderId="59" xfId="0" applyNumberFormat="1" applyFill="1" applyBorder="1" applyAlignment="1" applyProtection="1">
      <alignment vertical="center"/>
      <protection locked="0"/>
    </xf>
    <xf numFmtId="172" fontId="0" fillId="0" borderId="41" xfId="0" applyNumberFormat="1" applyBorder="1" applyAlignment="1" applyProtection="1">
      <alignment horizontal="center"/>
      <protection hidden="1"/>
    </xf>
    <xf numFmtId="172" fontId="3" fillId="9" borderId="10" xfId="0" applyNumberFormat="1" applyFont="1" applyFill="1" applyBorder="1" applyAlignment="1" applyProtection="1">
      <alignment horizontal="center"/>
      <protection hidden="1"/>
    </xf>
    <xf numFmtId="172" fontId="0" fillId="22" borderId="2" xfId="0" applyNumberFormat="1" applyFill="1" applyBorder="1" applyAlignment="1" applyProtection="1">
      <alignment horizontal="center"/>
      <protection hidden="1"/>
    </xf>
    <xf numFmtId="172" fontId="3" fillId="22" borderId="3" xfId="0" applyNumberFormat="1" applyFont="1" applyFill="1" applyBorder="1" applyAlignment="1" applyProtection="1">
      <alignment horizontal="center"/>
      <protection hidden="1"/>
    </xf>
    <xf numFmtId="172" fontId="0" fillId="0" borderId="8" xfId="0" applyNumberFormat="1" applyBorder="1" applyAlignment="1" applyProtection="1">
      <alignment horizontal="center"/>
      <protection hidden="1"/>
    </xf>
    <xf numFmtId="172" fontId="0" fillId="0" borderId="9" xfId="0" applyNumberFormat="1" applyBorder="1" applyAlignment="1" applyProtection="1">
      <alignment horizontal="center"/>
      <protection hidden="1"/>
    </xf>
    <xf numFmtId="172" fontId="0" fillId="0" borderId="23" xfId="0" applyNumberFormat="1" applyBorder="1" applyAlignment="1" applyProtection="1">
      <alignment horizontal="center"/>
      <protection hidden="1"/>
    </xf>
    <xf numFmtId="172" fontId="0" fillId="0" borderId="24" xfId="0" applyNumberFormat="1" applyBorder="1" applyAlignment="1" applyProtection="1">
      <alignment horizontal="center"/>
      <protection hidden="1"/>
    </xf>
    <xf numFmtId="172" fontId="0" fillId="5" borderId="8" xfId="0" applyNumberFormat="1" applyFill="1" applyBorder="1" applyAlignment="1" applyProtection="1">
      <alignment horizontal="center"/>
      <protection hidden="1"/>
    </xf>
    <xf numFmtId="172" fontId="0" fillId="22" borderId="5" xfId="0" applyNumberFormat="1" applyFill="1" applyBorder="1" applyAlignment="1" applyProtection="1">
      <alignment horizontal="center"/>
      <protection hidden="1"/>
    </xf>
    <xf numFmtId="172" fontId="3" fillId="22" borderId="6" xfId="0" applyNumberFormat="1" applyFont="1" applyFill="1" applyBorder="1" applyAlignment="1" applyProtection="1">
      <alignment horizontal="center"/>
      <protection hidden="1"/>
    </xf>
    <xf numFmtId="0" fontId="0" fillId="22" borderId="4" xfId="0" applyFill="1" applyBorder="1" applyAlignment="1">
      <alignment horizontal="right"/>
    </xf>
    <xf numFmtId="0" fontId="0" fillId="22" borderId="5" xfId="0" applyFill="1" applyBorder="1" applyAlignment="1">
      <alignment horizontal="right"/>
    </xf>
    <xf numFmtId="172" fontId="0" fillId="5" borderId="17" xfId="0" applyNumberFormat="1" applyFill="1" applyBorder="1" applyAlignment="1" applyProtection="1">
      <alignment horizontal="center"/>
      <protection hidden="1"/>
    </xf>
    <xf numFmtId="172" fontId="0" fillId="5" borderId="40" xfId="0" applyNumberFormat="1" applyFill="1" applyBorder="1" applyAlignment="1" applyProtection="1">
      <alignment horizontal="center"/>
      <protection hidden="1"/>
    </xf>
    <xf numFmtId="172" fontId="0" fillId="5" borderId="71" xfId="0" applyNumberFormat="1" applyFill="1" applyBorder="1" applyAlignment="1" applyProtection="1">
      <alignment horizontal="center"/>
      <protection hidden="1"/>
    </xf>
    <xf numFmtId="172" fontId="0" fillId="5" borderId="31" xfId="0" applyNumberFormat="1" applyFill="1" applyBorder="1" applyAlignment="1" applyProtection="1">
      <alignment horizontal="center"/>
      <protection hidden="1"/>
    </xf>
    <xf numFmtId="172" fontId="0" fillId="22" borderId="12" xfId="0" applyNumberFormat="1" applyFill="1" applyBorder="1" applyAlignment="1" applyProtection="1">
      <alignment horizontal="center"/>
      <protection hidden="1"/>
    </xf>
    <xf numFmtId="172" fontId="3" fillId="4" borderId="25" xfId="0" applyNumberFormat="1" applyFont="1" applyFill="1" applyBorder="1" applyAlignment="1" applyProtection="1">
      <alignment horizontal="center"/>
      <protection hidden="1"/>
    </xf>
    <xf numFmtId="172" fontId="0" fillId="5" borderId="19" xfId="0" applyNumberFormat="1" applyFill="1" applyBorder="1" applyAlignment="1" applyProtection="1">
      <alignment horizontal="center"/>
      <protection hidden="1"/>
    </xf>
    <xf numFmtId="172" fontId="0" fillId="5" borderId="9" xfId="0" applyNumberFormat="1" applyFill="1" applyBorder="1" applyAlignment="1" applyProtection="1">
      <alignment horizontal="center"/>
      <protection hidden="1"/>
    </xf>
    <xf numFmtId="172" fontId="0" fillId="7" borderId="10" xfId="0" applyNumberFormat="1" applyFill="1" applyBorder="1" applyAlignment="1" applyProtection="1">
      <alignment horizontal="center"/>
      <protection hidden="1"/>
    </xf>
    <xf numFmtId="172" fontId="0" fillId="7" borderId="20" xfId="0" applyNumberFormat="1" applyFill="1" applyBorder="1" applyAlignment="1" applyProtection="1">
      <alignment horizontal="center"/>
      <protection hidden="1"/>
    </xf>
    <xf numFmtId="172" fontId="3" fillId="7" borderId="20" xfId="0" applyNumberFormat="1" applyFont="1" applyFill="1" applyBorder="1" applyAlignment="1" applyProtection="1">
      <alignment horizontal="center"/>
      <protection hidden="1"/>
    </xf>
    <xf numFmtId="172" fontId="3" fillId="7" borderId="25" xfId="0" applyNumberFormat="1" applyFont="1" applyFill="1" applyBorder="1" applyAlignment="1" applyProtection="1">
      <alignment horizontal="center"/>
      <protection hidden="1"/>
    </xf>
    <xf numFmtId="172" fontId="3" fillId="10" borderId="39" xfId="0" applyNumberFormat="1" applyFont="1" applyFill="1" applyBorder="1" applyAlignment="1" applyProtection="1">
      <alignment horizontal="center"/>
      <protection hidden="1"/>
    </xf>
    <xf numFmtId="172" fontId="3" fillId="6" borderId="39" xfId="0" applyNumberFormat="1" applyFont="1" applyFill="1" applyBorder="1" applyAlignment="1">
      <alignment horizontal="center"/>
    </xf>
    <xf numFmtId="0" fontId="0" fillId="22" borderId="1" xfId="0" applyFill="1" applyBorder="1"/>
    <xf numFmtId="0" fontId="0" fillId="22" borderId="2" xfId="0" applyFill="1" applyBorder="1"/>
    <xf numFmtId="0" fontId="0" fillId="22" borderId="3" xfId="0" applyFill="1" applyBorder="1"/>
    <xf numFmtId="0" fontId="0" fillId="22" borderId="1" xfId="0" applyFill="1" applyBorder="1" applyAlignment="1" applyProtection="1">
      <alignment horizontal="right"/>
      <protection hidden="1"/>
    </xf>
    <xf numFmtId="0" fontId="0" fillId="22" borderId="2" xfId="0" applyFill="1" applyBorder="1" applyAlignment="1" applyProtection="1">
      <alignment horizontal="right"/>
      <protection hidden="1"/>
    </xf>
    <xf numFmtId="0" fontId="0" fillId="22" borderId="3" xfId="0" applyFill="1" applyBorder="1" applyAlignment="1" applyProtection="1">
      <alignment horizontal="right"/>
      <protection hidden="1"/>
    </xf>
    <xf numFmtId="172" fontId="3" fillId="22" borderId="39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15" borderId="0" xfId="0" applyFont="1" applyFill="1" applyAlignment="1">
      <alignment horizontal="right"/>
    </xf>
    <xf numFmtId="0" fontId="3" fillId="24" borderId="3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right"/>
    </xf>
    <xf numFmtId="0" fontId="0" fillId="6" borderId="16" xfId="0" applyFill="1" applyBorder="1" applyAlignment="1">
      <alignment horizontal="center"/>
    </xf>
    <xf numFmtId="172" fontId="0" fillId="8" borderId="10" xfId="0" applyNumberFormat="1" applyFill="1" applyBorder="1"/>
    <xf numFmtId="0" fontId="3" fillId="0" borderId="47" xfId="0" applyFont="1" applyBorder="1" applyAlignment="1">
      <alignment horizontal="right"/>
    </xf>
    <xf numFmtId="0" fontId="0" fillId="6" borderId="7" xfId="0" applyFill="1" applyBorder="1" applyAlignment="1">
      <alignment horizontal="center"/>
    </xf>
    <xf numFmtId="172" fontId="0" fillId="8" borderId="20" xfId="0" applyNumberFormat="1" applyFill="1" applyBorder="1"/>
    <xf numFmtId="0" fontId="3" fillId="0" borderId="48" xfId="0" applyFont="1" applyBorder="1" applyAlignment="1">
      <alignment horizontal="right"/>
    </xf>
    <xf numFmtId="0" fontId="0" fillId="6" borderId="34" xfId="0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0" fontId="0" fillId="12" borderId="61" xfId="0" applyFill="1" applyBorder="1" applyAlignment="1">
      <alignment horizontal="center"/>
    </xf>
    <xf numFmtId="172" fontId="0" fillId="8" borderId="56" xfId="0" applyNumberFormat="1" applyFill="1" applyBorder="1"/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6" borderId="22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172" fontId="0" fillId="8" borderId="25" xfId="0" applyNumberFormat="1" applyFill="1" applyBorder="1"/>
    <xf numFmtId="0" fontId="6" fillId="0" borderId="0" xfId="0" applyFont="1" applyAlignment="1">
      <alignment vertical="center"/>
    </xf>
    <xf numFmtId="170" fontId="0" fillId="0" borderId="0" xfId="0" applyNumberFormat="1"/>
    <xf numFmtId="167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/>
    <xf numFmtId="0" fontId="0" fillId="0" borderId="8" xfId="0" applyBorder="1"/>
    <xf numFmtId="0" fontId="0" fillId="0" borderId="9" xfId="0" applyBorder="1"/>
    <xf numFmtId="0" fontId="8" fillId="0" borderId="0" xfId="0" applyFont="1" applyAlignment="1">
      <alignment horizontal="center"/>
    </xf>
    <xf numFmtId="168" fontId="3" fillId="0" borderId="39" xfId="0" applyNumberFormat="1" applyFont="1" applyBorder="1" applyAlignment="1">
      <alignment horizontal="center" vertical="center"/>
    </xf>
    <xf numFmtId="0" fontId="0" fillId="7" borderId="77" xfId="0" applyFill="1" applyBorder="1" applyAlignment="1">
      <alignment horizontal="center"/>
    </xf>
    <xf numFmtId="0" fontId="0" fillId="7" borderId="7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71" fontId="0" fillId="7" borderId="63" xfId="0" applyNumberFormat="1" applyFill="1" applyBorder="1" applyAlignment="1">
      <alignment horizontal="center"/>
    </xf>
    <xf numFmtId="171" fontId="0" fillId="7" borderId="65" xfId="0" applyNumberFormat="1" applyFill="1" applyBorder="1" applyAlignment="1">
      <alignment horizontal="center"/>
    </xf>
    <xf numFmtId="171" fontId="0" fillId="7" borderId="64" xfId="0" applyNumberFormat="1" applyFill="1" applyBorder="1" applyAlignment="1">
      <alignment horizontal="center"/>
    </xf>
    <xf numFmtId="173" fontId="0" fillId="7" borderId="107" xfId="0" applyNumberFormat="1" applyFill="1" applyBorder="1" applyAlignment="1">
      <alignment horizontal="center"/>
    </xf>
    <xf numFmtId="173" fontId="0" fillId="7" borderId="5" xfId="0" applyNumberFormat="1" applyFill="1" applyBorder="1" applyAlignment="1">
      <alignment horizontal="center"/>
    </xf>
    <xf numFmtId="173" fontId="0" fillId="7" borderId="108" xfId="0" applyNumberFormat="1" applyFill="1" applyBorder="1" applyAlignment="1">
      <alignment horizontal="center"/>
    </xf>
    <xf numFmtId="173" fontId="0" fillId="7" borderId="109" xfId="0" applyNumberFormat="1" applyFill="1" applyBorder="1" applyAlignment="1">
      <alignment horizontal="center"/>
    </xf>
    <xf numFmtId="173" fontId="0" fillId="7" borderId="28" xfId="0" applyNumberFormat="1" applyFill="1" applyBorder="1" applyAlignment="1">
      <alignment horizontal="center"/>
    </xf>
    <xf numFmtId="173" fontId="0" fillId="7" borderId="110" xfId="0" applyNumberFormat="1" applyFill="1" applyBorder="1" applyAlignment="1">
      <alignment horizontal="center"/>
    </xf>
    <xf numFmtId="0" fontId="13" fillId="0" borderId="0" xfId="0" applyFont="1" applyAlignment="1">
      <alignment horizontal="left"/>
    </xf>
    <xf numFmtId="170" fontId="11" fillId="25" borderId="9" xfId="1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30" fillId="12" borderId="46" xfId="0" applyFont="1" applyFill="1" applyBorder="1" applyAlignment="1">
      <alignment horizontal="left"/>
    </xf>
    <xf numFmtId="166" fontId="0" fillId="2" borderId="58" xfId="0" applyNumberFormat="1" applyFill="1" applyBorder="1" applyAlignment="1" applyProtection="1">
      <alignment horizontal="right" vertical="center"/>
      <protection locked="0"/>
    </xf>
    <xf numFmtId="0" fontId="17" fillId="6" borderId="61" xfId="0" applyFont="1" applyFill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locked="0"/>
    </xf>
    <xf numFmtId="0" fontId="33" fillId="4" borderId="2" xfId="0" applyFont="1" applyFill="1" applyBorder="1"/>
    <xf numFmtId="0" fontId="33" fillId="9" borderId="2" xfId="0" applyFont="1" applyFill="1" applyBorder="1"/>
    <xf numFmtId="0" fontId="33" fillId="10" borderId="2" xfId="0" applyFont="1" applyFill="1" applyBorder="1"/>
    <xf numFmtId="172" fontId="0" fillId="5" borderId="38" xfId="0" applyNumberFormat="1" applyFill="1" applyBorder="1" applyAlignment="1" applyProtection="1">
      <alignment horizontal="center"/>
      <protection hidden="1"/>
    </xf>
    <xf numFmtId="172" fontId="0" fillId="5" borderId="57" xfId="0" applyNumberFormat="1" applyFill="1" applyBorder="1" applyAlignment="1" applyProtection="1">
      <alignment horizontal="center"/>
      <protection hidden="1"/>
    </xf>
    <xf numFmtId="172" fontId="0" fillId="5" borderId="61" xfId="0" applyNumberFormat="1" applyFill="1" applyBorder="1" applyAlignment="1" applyProtection="1">
      <alignment horizontal="center"/>
      <protection hidden="1"/>
    </xf>
    <xf numFmtId="172" fontId="3" fillId="3" borderId="39" xfId="0" applyNumberFormat="1" applyFont="1" applyFill="1" applyBorder="1" applyAlignment="1" applyProtection="1">
      <alignment horizontal="center"/>
      <protection hidden="1"/>
    </xf>
    <xf numFmtId="172" fontId="0" fillId="0" borderId="57" xfId="0" applyNumberFormat="1" applyBorder="1" applyAlignment="1">
      <alignment horizontal="center"/>
    </xf>
    <xf numFmtId="172" fontId="3" fillId="21" borderId="39" xfId="0" applyNumberFormat="1" applyFont="1" applyFill="1" applyBorder="1" applyAlignment="1" applyProtection="1">
      <alignment horizontal="center"/>
      <protection hidden="1"/>
    </xf>
    <xf numFmtId="0" fontId="0" fillId="27" borderId="7" xfId="0" applyFill="1" applyBorder="1" applyAlignment="1">
      <alignment horizontal="right"/>
    </xf>
    <xf numFmtId="172" fontId="3" fillId="27" borderId="8" xfId="0" applyNumberFormat="1" applyFont="1" applyFill="1" applyBorder="1" applyAlignment="1">
      <alignment horizontal="center" vertical="center"/>
    </xf>
    <xf numFmtId="0" fontId="3" fillId="27" borderId="7" xfId="0" applyFont="1" applyFill="1" applyBorder="1" applyAlignment="1" applyProtection="1">
      <alignment horizontal="center"/>
      <protection hidden="1"/>
    </xf>
    <xf numFmtId="172" fontId="3" fillId="27" borderId="23" xfId="0" applyNumberFormat="1" applyFont="1" applyFill="1" applyBorder="1" applyAlignment="1" applyProtection="1">
      <alignment horizontal="center"/>
      <protection hidden="1"/>
    </xf>
    <xf numFmtId="172" fontId="3" fillId="27" borderId="24" xfId="0" applyNumberFormat="1" applyFont="1" applyFill="1" applyBorder="1" applyAlignment="1" applyProtection="1">
      <alignment horizontal="center"/>
      <protection hidden="1"/>
    </xf>
    <xf numFmtId="0" fontId="3" fillId="27" borderId="1" xfId="0" applyFont="1" applyFill="1" applyBorder="1"/>
    <xf numFmtId="172" fontId="3" fillId="27" borderId="39" xfId="0" applyNumberFormat="1" applyFont="1" applyFill="1" applyBorder="1" applyAlignment="1" applyProtection="1">
      <alignment horizontal="center"/>
      <protection hidden="1"/>
    </xf>
    <xf numFmtId="172" fontId="3" fillId="17" borderId="25" xfId="0" applyNumberFormat="1" applyFont="1" applyFill="1" applyBorder="1" applyAlignment="1" applyProtection="1">
      <alignment horizontal="center"/>
      <protection hidden="1"/>
    </xf>
    <xf numFmtId="172" fontId="3" fillId="10" borderId="3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6" borderId="51" xfId="0" applyFont="1" applyFill="1" applyBorder="1" applyAlignment="1">
      <alignment horizontal="center"/>
    </xf>
    <xf numFmtId="0" fontId="5" fillId="26" borderId="30" xfId="0" applyFont="1" applyFill="1" applyBorder="1" applyAlignment="1">
      <alignment horizontal="center"/>
    </xf>
    <xf numFmtId="0" fontId="5" fillId="26" borderId="49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0" fillId="0" borderId="8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3" fillId="15" borderId="94" xfId="0" applyFont="1" applyFill="1" applyBorder="1" applyAlignment="1">
      <alignment horizontal="center"/>
    </xf>
    <xf numFmtId="0" fontId="3" fillId="15" borderId="95" xfId="0" applyFont="1" applyFill="1" applyBorder="1" applyAlignment="1">
      <alignment horizontal="center"/>
    </xf>
    <xf numFmtId="0" fontId="3" fillId="15" borderId="96" xfId="0" applyFont="1" applyFill="1" applyBorder="1" applyAlignment="1">
      <alignment horizontal="center"/>
    </xf>
    <xf numFmtId="0" fontId="3" fillId="15" borderId="74" xfId="0" applyFont="1" applyFill="1" applyBorder="1" applyAlignment="1">
      <alignment horizontal="center"/>
    </xf>
    <xf numFmtId="0" fontId="3" fillId="15" borderId="75" xfId="0" applyFont="1" applyFill="1" applyBorder="1" applyAlignment="1">
      <alignment horizontal="center"/>
    </xf>
    <xf numFmtId="0" fontId="3" fillId="15" borderId="76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horizontal="center" vertical="center"/>
    </xf>
    <xf numFmtId="164" fontId="23" fillId="6" borderId="7" xfId="0" applyNumberFormat="1" applyFont="1" applyFill="1" applyBorder="1" applyAlignment="1">
      <alignment horizontal="center" vertical="center"/>
    </xf>
    <xf numFmtId="164" fontId="23" fillId="6" borderId="22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164" fontId="0" fillId="16" borderId="1" xfId="0" applyNumberFormat="1" applyFill="1" applyBorder="1" applyAlignment="1" applyProtection="1">
      <alignment horizontal="left" vertical="center" wrapText="1"/>
      <protection hidden="1"/>
    </xf>
    <xf numFmtId="164" fontId="0" fillId="16" borderId="3" xfId="0" applyNumberFormat="1" applyFill="1" applyBorder="1" applyAlignment="1" applyProtection="1">
      <alignment horizontal="left" vertical="center" wrapText="1"/>
      <protection hidden="1"/>
    </xf>
    <xf numFmtId="168" fontId="3" fillId="10" borderId="1" xfId="0" applyNumberFormat="1" applyFont="1" applyFill="1" applyBorder="1" applyAlignment="1">
      <alignment horizontal="center"/>
    </xf>
    <xf numFmtId="168" fontId="3" fillId="10" borderId="3" xfId="0" applyNumberFormat="1" applyFont="1" applyFill="1" applyBorder="1" applyAlignment="1">
      <alignment horizontal="center"/>
    </xf>
    <xf numFmtId="164" fontId="0" fillId="10" borderId="4" xfId="0" applyNumberFormat="1" applyFill="1" applyBorder="1" applyAlignment="1" applyProtection="1">
      <alignment horizontal="left" vertical="center" wrapText="1"/>
      <protection hidden="1"/>
    </xf>
    <xf numFmtId="164" fontId="0" fillId="10" borderId="6" xfId="0" applyNumberFormat="1" applyFill="1" applyBorder="1" applyAlignment="1" applyProtection="1">
      <alignment horizontal="left" vertical="center" wrapText="1"/>
      <protection hidden="1"/>
    </xf>
    <xf numFmtId="164" fontId="24" fillId="7" borderId="79" xfId="0" applyNumberFormat="1" applyFont="1" applyFill="1" applyBorder="1" applyAlignment="1" applyProtection="1">
      <alignment horizontal="left" vertical="center" wrapText="1"/>
      <protection hidden="1"/>
    </xf>
    <xf numFmtId="164" fontId="24" fillId="7" borderId="80" xfId="0" applyNumberFormat="1" applyFont="1" applyFill="1" applyBorder="1" applyAlignment="1" applyProtection="1">
      <alignment horizontal="left" vertical="center" wrapText="1"/>
      <protection hidden="1"/>
    </xf>
    <xf numFmtId="164" fontId="24" fillId="7" borderId="90" xfId="0" applyNumberFormat="1" applyFont="1" applyFill="1" applyBorder="1" applyAlignment="1" applyProtection="1">
      <alignment horizontal="left" vertical="center" wrapText="1"/>
      <protection hidden="1"/>
    </xf>
    <xf numFmtId="164" fontId="24" fillId="7" borderId="10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48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0" fillId="10" borderId="102" xfId="0" applyFill="1" applyBorder="1" applyAlignment="1" applyProtection="1">
      <alignment horizontal="center"/>
      <protection hidden="1"/>
    </xf>
    <xf numFmtId="0" fontId="0" fillId="10" borderId="103" xfId="0" applyFill="1" applyBorder="1" applyAlignment="1" applyProtection="1">
      <alignment horizontal="center"/>
      <protection hidden="1"/>
    </xf>
    <xf numFmtId="0" fontId="0" fillId="10" borderId="104" xfId="0" applyFill="1" applyBorder="1" applyAlignment="1" applyProtection="1">
      <alignment horizontal="center"/>
      <protection hidden="1"/>
    </xf>
    <xf numFmtId="164" fontId="0" fillId="9" borderId="1" xfId="0" applyNumberFormat="1" applyFill="1" applyBorder="1" applyAlignment="1">
      <alignment horizontal="left" vertical="center" wrapText="1"/>
    </xf>
    <xf numFmtId="164" fontId="0" fillId="9" borderId="3" xfId="0" applyNumberFormat="1" applyFill="1" applyBorder="1" applyAlignment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25" fillId="0" borderId="2" xfId="0" applyFont="1" applyBorder="1" applyAlignment="1" applyProtection="1">
      <alignment horizontal="left" vertical="center" wrapText="1"/>
      <protection hidden="1"/>
    </xf>
    <xf numFmtId="0" fontId="25" fillId="0" borderId="3" xfId="0" applyFont="1" applyBorder="1" applyAlignment="1" applyProtection="1">
      <alignment horizontal="left" vertical="center" wrapText="1"/>
      <protection hidden="1"/>
    </xf>
    <xf numFmtId="0" fontId="3" fillId="6" borderId="47" xfId="0" applyFont="1" applyFill="1" applyBorder="1" applyAlignment="1" applyProtection="1">
      <alignment horizontal="center"/>
      <protection hidden="1"/>
    </xf>
    <xf numFmtId="0" fontId="3" fillId="6" borderId="61" xfId="0" applyFont="1" applyFill="1" applyBorder="1" applyAlignment="1" applyProtection="1">
      <alignment horizontal="center"/>
      <protection hidden="1"/>
    </xf>
    <xf numFmtId="0" fontId="3" fillId="9" borderId="98" xfId="0" applyFont="1" applyFill="1" applyBorder="1" applyAlignment="1">
      <alignment horizontal="center"/>
    </xf>
    <xf numFmtId="0" fontId="3" fillId="9" borderId="99" xfId="0" applyFont="1" applyFill="1" applyBorder="1" applyAlignment="1">
      <alignment horizontal="center"/>
    </xf>
    <xf numFmtId="0" fontId="3" fillId="9" borderId="100" xfId="0" applyFont="1" applyFill="1" applyBorder="1" applyAlignment="1">
      <alignment horizontal="center"/>
    </xf>
    <xf numFmtId="0" fontId="3" fillId="9" borderId="74" xfId="0" applyFont="1" applyFill="1" applyBorder="1" applyAlignment="1">
      <alignment horizontal="center"/>
    </xf>
    <xf numFmtId="0" fontId="3" fillId="9" borderId="75" xfId="0" applyFont="1" applyFill="1" applyBorder="1" applyAlignment="1">
      <alignment horizontal="center"/>
    </xf>
    <xf numFmtId="0" fontId="3" fillId="9" borderId="76" xfId="0" applyFont="1" applyFill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45"/>
    </xf>
    <xf numFmtId="0" fontId="3" fillId="0" borderId="18" xfId="0" applyFont="1" applyBorder="1" applyAlignment="1">
      <alignment horizontal="center" vertical="center" textRotation="45"/>
    </xf>
    <xf numFmtId="0" fontId="3" fillId="0" borderId="14" xfId="0" applyFont="1" applyBorder="1" applyAlignment="1">
      <alignment horizontal="center" vertical="center" textRotation="45"/>
    </xf>
    <xf numFmtId="0" fontId="3" fillId="15" borderId="4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8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/>
      <protection hidden="1"/>
    </xf>
    <xf numFmtId="0" fontId="3" fillId="24" borderId="25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wrapText="1"/>
    </xf>
    <xf numFmtId="0" fontId="32" fillId="5" borderId="0" xfId="0" applyFont="1" applyFill="1" applyAlignment="1">
      <alignment horizontal="center"/>
    </xf>
    <xf numFmtId="0" fontId="8" fillId="27" borderId="4" xfId="0" applyFont="1" applyFill="1" applyBorder="1" applyAlignment="1">
      <alignment horizontal="center"/>
    </xf>
    <xf numFmtId="0" fontId="8" fillId="27" borderId="5" xfId="0" applyFont="1" applyFill="1" applyBorder="1" applyAlignment="1">
      <alignment horizontal="center"/>
    </xf>
    <xf numFmtId="0" fontId="8" fillId="27" borderId="6" xfId="0" applyFont="1" applyFill="1" applyBorder="1" applyAlignment="1">
      <alignment horizontal="center"/>
    </xf>
    <xf numFmtId="0" fontId="22" fillId="24" borderId="4" xfId="0" applyFont="1" applyFill="1" applyBorder="1" applyAlignment="1">
      <alignment horizontal="center"/>
    </xf>
    <xf numFmtId="0" fontId="22" fillId="24" borderId="5" xfId="0" applyFont="1" applyFill="1" applyBorder="1" applyAlignment="1">
      <alignment horizontal="center"/>
    </xf>
    <xf numFmtId="0" fontId="22" fillId="24" borderId="6" xfId="0" applyFont="1" applyFill="1" applyBorder="1" applyAlignment="1">
      <alignment horizontal="center"/>
    </xf>
    <xf numFmtId="0" fontId="0" fillId="6" borderId="41" xfId="0" applyFill="1" applyBorder="1" applyAlignment="1">
      <alignment horizontal="center" vertical="center" wrapText="1"/>
    </xf>
    <xf numFmtId="0" fontId="0" fillId="6" borderId="72" xfId="0" applyFill="1" applyBorder="1" applyAlignment="1">
      <alignment horizontal="center" vertical="center"/>
    </xf>
    <xf numFmtId="170" fontId="0" fillId="2" borderId="44" xfId="1" applyNumberFormat="1" applyFont="1" applyFill="1" applyBorder="1" applyAlignment="1" applyProtection="1">
      <alignment horizontal="center" vertical="center"/>
      <protection locked="0"/>
    </xf>
    <xf numFmtId="170" fontId="0" fillId="2" borderId="62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0" fontId="15" fillId="13" borderId="28" xfId="0" applyFont="1" applyFill="1" applyBorder="1" applyAlignment="1">
      <alignment horizontal="center" vertical="center"/>
    </xf>
    <xf numFmtId="0" fontId="15" fillId="13" borderId="29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0" borderId="7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5" fillId="14" borderId="1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10" borderId="1" xfId="0" applyFill="1" applyBorder="1" applyAlignment="1" applyProtection="1">
      <alignment horizontal="right"/>
      <protection hidden="1"/>
    </xf>
    <xf numFmtId="0" fontId="0" fillId="10" borderId="2" xfId="0" applyFill="1" applyBorder="1" applyAlignment="1" applyProtection="1">
      <alignment horizontal="right"/>
      <protection hidden="1"/>
    </xf>
    <xf numFmtId="0" fontId="0" fillId="10" borderId="3" xfId="0" applyFill="1" applyBorder="1" applyAlignment="1" applyProtection="1">
      <alignment horizontal="right"/>
      <protection hidden="1"/>
    </xf>
    <xf numFmtId="172" fontId="0" fillId="5" borderId="111" xfId="0" applyNumberFormat="1" applyFill="1" applyBorder="1" applyAlignment="1" applyProtection="1">
      <alignment horizontal="center"/>
      <protection hidden="1"/>
    </xf>
    <xf numFmtId="172" fontId="0" fillId="5" borderId="37" xfId="0" applyNumberFormat="1" applyFill="1" applyBorder="1" applyAlignment="1" applyProtection="1">
      <alignment horizontal="center"/>
      <protection hidden="1"/>
    </xf>
    <xf numFmtId="172" fontId="0" fillId="5" borderId="21" xfId="0" applyNumberFormat="1" applyFill="1" applyBorder="1" applyAlignment="1" applyProtection="1">
      <alignment horizontal="center"/>
      <protection hidden="1"/>
    </xf>
    <xf numFmtId="172" fontId="0" fillId="5" borderId="46" xfId="0" applyNumberFormat="1" applyFill="1" applyBorder="1" applyAlignment="1" applyProtection="1">
      <alignment horizontal="center"/>
      <protection hidden="1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0" borderId="1" xfId="0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72" fontId="0" fillId="7" borderId="10" xfId="0" applyNumberFormat="1" applyFill="1" applyBorder="1" applyAlignment="1" applyProtection="1">
      <alignment horizontal="center"/>
      <protection hidden="1"/>
    </xf>
    <xf numFmtId="172" fontId="0" fillId="7" borderId="20" xfId="0" applyNumberFormat="1" applyFill="1" applyBorder="1" applyAlignment="1" applyProtection="1">
      <alignment horizontal="center"/>
      <protection hidden="1"/>
    </xf>
    <xf numFmtId="172" fontId="0" fillId="7" borderId="25" xfId="0" applyNumberFormat="1" applyFill="1" applyBorder="1" applyAlignment="1" applyProtection="1">
      <alignment horizontal="center"/>
      <protection hidden="1"/>
    </xf>
    <xf numFmtId="172" fontId="0" fillId="5" borderId="26" xfId="0" applyNumberFormat="1" applyFill="1" applyBorder="1" applyAlignment="1" applyProtection="1">
      <alignment horizontal="center"/>
      <protection hidden="1"/>
    </xf>
    <xf numFmtId="172" fontId="0" fillId="5" borderId="30" xfId="0" applyNumberFormat="1" applyFill="1" applyBorder="1" applyAlignment="1" applyProtection="1">
      <alignment horizontal="center"/>
      <protection hidden="1"/>
    </xf>
    <xf numFmtId="0" fontId="14" fillId="14" borderId="4" xfId="0" applyFont="1" applyFill="1" applyBorder="1" applyAlignment="1" applyProtection="1">
      <alignment horizontal="center" vertical="center"/>
      <protection hidden="1"/>
    </xf>
    <xf numFmtId="0" fontId="14" fillId="14" borderId="6" xfId="0" applyFont="1" applyFill="1" applyBorder="1" applyAlignment="1" applyProtection="1">
      <alignment horizontal="center" vertical="center"/>
      <protection hidden="1"/>
    </xf>
    <xf numFmtId="0" fontId="14" fillId="14" borderId="18" xfId="0" applyFont="1" applyFill="1" applyBorder="1" applyAlignment="1" applyProtection="1">
      <alignment horizontal="center" vertical="center"/>
      <protection hidden="1"/>
    </xf>
    <xf numFmtId="0" fontId="14" fillId="14" borderId="32" xfId="0" applyFont="1" applyFill="1" applyBorder="1" applyAlignment="1" applyProtection="1">
      <alignment horizontal="center" vertical="center"/>
      <protection hidden="1"/>
    </xf>
    <xf numFmtId="0" fontId="14" fillId="14" borderId="14" xfId="0" applyFont="1" applyFill="1" applyBorder="1" applyAlignment="1" applyProtection="1">
      <alignment horizontal="center" vertical="center"/>
      <protection hidden="1"/>
    </xf>
    <xf numFmtId="0" fontId="14" fillId="14" borderId="29" xfId="0" applyFont="1" applyFill="1" applyBorder="1" applyAlignment="1" applyProtection="1">
      <alignment horizontal="center" vertical="center"/>
      <protection hidden="1"/>
    </xf>
    <xf numFmtId="0" fontId="0" fillId="17" borderId="1" xfId="0" applyFill="1" applyBorder="1" applyAlignment="1">
      <alignment horizontal="right"/>
    </xf>
    <xf numFmtId="0" fontId="0" fillId="17" borderId="2" xfId="0" applyFill="1" applyBorder="1" applyAlignment="1">
      <alignment horizontal="right"/>
    </xf>
    <xf numFmtId="0" fontId="0" fillId="17" borderId="3" xfId="0" applyFill="1" applyBorder="1" applyAlignment="1">
      <alignment horizontal="right"/>
    </xf>
    <xf numFmtId="0" fontId="15" fillId="27" borderId="4" xfId="0" applyFont="1" applyFill="1" applyBorder="1" applyAlignment="1">
      <alignment horizontal="center" vertical="center"/>
    </xf>
    <xf numFmtId="0" fontId="15" fillId="27" borderId="5" xfId="0" applyFont="1" applyFill="1" applyBorder="1" applyAlignment="1">
      <alignment horizontal="center" vertical="center"/>
    </xf>
    <xf numFmtId="0" fontId="15" fillId="27" borderId="6" xfId="0" applyFont="1" applyFill="1" applyBorder="1" applyAlignment="1">
      <alignment horizontal="center" vertical="center"/>
    </xf>
    <xf numFmtId="0" fontId="15" fillId="27" borderId="14" xfId="0" applyFont="1" applyFill="1" applyBorder="1" applyAlignment="1">
      <alignment horizontal="center" vertical="center"/>
    </xf>
    <xf numFmtId="0" fontId="15" fillId="27" borderId="28" xfId="0" applyFont="1" applyFill="1" applyBorder="1" applyAlignment="1">
      <alignment horizontal="center" vertical="center"/>
    </xf>
    <xf numFmtId="0" fontId="15" fillId="27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7" borderId="10" xfId="0" applyFill="1" applyBorder="1" applyAlignment="1">
      <alignment horizontal="right" vertical="center"/>
    </xf>
    <xf numFmtId="0" fontId="0" fillId="7" borderId="25" xfId="0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10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top style="dashDot">
          <color auto="1"/>
        </top>
        <vertical/>
        <horizontal/>
      </border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 patternType="none">
          <bgColor auto="1"/>
        </patternFill>
      </fill>
      <border>
        <top style="dashDot">
          <color auto="1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theme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 patternType="solid">
          <bgColor theme="7" tint="0.39994506668294322"/>
        </patternFill>
      </fill>
      <border>
        <top style="dashDot">
          <color auto="1"/>
        </top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CAD7E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D1FFFF"/>
      <color rgb="FFCAD7EE"/>
      <color rgb="FFC0FDFE"/>
      <color rgb="FFB7E5FF"/>
      <color rgb="FFB4DFFA"/>
      <color rgb="FFFFCCCC"/>
      <color rgb="FFE4D1FF"/>
      <color rgb="FFE1CCFE"/>
      <color rgb="FFCFB2F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2770909</xdr:colOff>
      <xdr:row>65</xdr:row>
      <xdr:rowOff>76199</xdr:rowOff>
    </xdr:from>
    <xdr:to>
      <xdr:col>15</xdr:col>
      <xdr:colOff>66675</xdr:colOff>
      <xdr:row>85</xdr:row>
      <xdr:rowOff>161924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BCE48311-9001-75B3-54BB-E44399CCD8EC}"/>
            </a:ext>
          </a:extLst>
        </xdr:cNvPr>
        <xdr:cNvSpPr/>
      </xdr:nvSpPr>
      <xdr:spPr>
        <a:xfrm>
          <a:off x="10379364" y="16355290"/>
          <a:ext cx="3484129" cy="4311361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379330</xdr:colOff>
      <xdr:row>51</xdr:row>
      <xdr:rowOff>1839</xdr:rowOff>
    </xdr:from>
    <xdr:to>
      <xdr:col>9</xdr:col>
      <xdr:colOff>731755</xdr:colOff>
      <xdr:row>52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C4600F-C676-5146-996F-D78CF3C3463B}"/>
            </a:ext>
          </a:extLst>
        </xdr:cNvPr>
        <xdr:cNvSpPr txBox="1"/>
      </xdr:nvSpPr>
      <xdr:spPr>
        <a:xfrm>
          <a:off x="6341980" y="11031789"/>
          <a:ext cx="1333500" cy="331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solidFill>
                <a:schemeClr val="bg1"/>
              </a:solidFill>
            </a:rPr>
            <a:t>Total Results</a:t>
          </a:r>
        </a:p>
      </xdr:txBody>
    </xdr:sp>
    <xdr:clientData/>
  </xdr:twoCellAnchor>
  <xdr:twoCellAnchor>
    <xdr:from>
      <xdr:col>15</xdr:col>
      <xdr:colOff>248803</xdr:colOff>
      <xdr:row>65</xdr:row>
      <xdr:rowOff>72737</xdr:rowOff>
    </xdr:from>
    <xdr:to>
      <xdr:col>17</xdr:col>
      <xdr:colOff>79373</xdr:colOff>
      <xdr:row>68</xdr:row>
      <xdr:rowOff>158462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1CC3126-96F1-2362-DAF9-DEA0538D923B}"/>
            </a:ext>
          </a:extLst>
        </xdr:cNvPr>
        <xdr:cNvSpPr txBox="1"/>
      </xdr:nvSpPr>
      <xdr:spPr>
        <a:xfrm>
          <a:off x="14045621" y="16351828"/>
          <a:ext cx="1804843" cy="732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aseline="30000"/>
            <a:t>5</a:t>
          </a:r>
          <a:r>
            <a:rPr lang="en-US" sz="1200"/>
            <a:t>vCPUs = Threads per core * core count * sockets</a:t>
          </a:r>
        </a:p>
        <a:p>
          <a:endParaRPr lang="en-US" sz="1200"/>
        </a:p>
      </xdr:txBody>
    </xdr:sp>
    <xdr:clientData/>
  </xdr:twoCellAnchor>
  <xdr:twoCellAnchor>
    <xdr:from>
      <xdr:col>6</xdr:col>
      <xdr:colOff>610541</xdr:colOff>
      <xdr:row>68</xdr:row>
      <xdr:rowOff>93082</xdr:rowOff>
    </xdr:from>
    <xdr:to>
      <xdr:col>11</xdr:col>
      <xdr:colOff>504825</xdr:colOff>
      <xdr:row>70</xdr:row>
      <xdr:rowOff>26408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78DD6B-40C0-214C-BBBF-3B38A491C508}"/>
            </a:ext>
          </a:extLst>
        </xdr:cNvPr>
        <xdr:cNvSpPr txBox="1"/>
      </xdr:nvSpPr>
      <xdr:spPr>
        <a:xfrm>
          <a:off x="4306241" y="16628482"/>
          <a:ext cx="3866209" cy="361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solidFill>
                <a:schemeClr val="bg1"/>
              </a:solidFill>
            </a:rPr>
            <a:t>Sizing Input for Configuration Calculators </a:t>
          </a:r>
        </a:p>
      </xdr:txBody>
    </xdr:sp>
    <xdr:clientData/>
  </xdr:twoCellAnchor>
  <xdr:twoCellAnchor>
    <xdr:from>
      <xdr:col>5</xdr:col>
      <xdr:colOff>253999</xdr:colOff>
      <xdr:row>23</xdr:row>
      <xdr:rowOff>0</xdr:rowOff>
    </xdr:from>
    <xdr:to>
      <xdr:col>10</xdr:col>
      <xdr:colOff>358776</xdr:colOff>
      <xdr:row>53</xdr:row>
      <xdr:rowOff>66674</xdr:rowOff>
    </xdr:to>
    <xdr:sp macro="" textlink="">
      <xdr:nvSpPr>
        <xdr:cNvPr id="15" name="Bent-Up Arrow 14">
          <a:extLst>
            <a:ext uri="{FF2B5EF4-FFF2-40B4-BE49-F238E27FC236}">
              <a16:creationId xmlns:a16="http://schemas.microsoft.com/office/drawing/2014/main" id="{9F828691-D405-2A4B-A1C7-90B35AF56241}"/>
            </a:ext>
          </a:extLst>
        </xdr:cNvPr>
        <xdr:cNvSpPr/>
      </xdr:nvSpPr>
      <xdr:spPr>
        <a:xfrm rot="5400000">
          <a:off x="2209801" y="6235698"/>
          <a:ext cx="6353174" cy="4465111"/>
        </a:xfrm>
        <a:prstGeom prst="bentUpArrow">
          <a:avLst>
            <a:gd name="adj1" fmla="val 7789"/>
            <a:gd name="adj2" fmla="val 6566"/>
            <a:gd name="adj3" fmla="val 10176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800"/>
            <a:t>       Scroll  for Rusults  --------&gt;</a:t>
          </a:r>
        </a:p>
      </xdr:txBody>
    </xdr:sp>
    <xdr:clientData/>
  </xdr:twoCellAnchor>
  <xdr:twoCellAnchor>
    <xdr:from>
      <xdr:col>5</xdr:col>
      <xdr:colOff>253997</xdr:colOff>
      <xdr:row>52</xdr:row>
      <xdr:rowOff>105837</xdr:rowOff>
    </xdr:from>
    <xdr:to>
      <xdr:col>11</xdr:col>
      <xdr:colOff>2666999</xdr:colOff>
      <xdr:row>68</xdr:row>
      <xdr:rowOff>95251</xdr:rowOff>
    </xdr:to>
    <xdr:sp macro="" textlink="">
      <xdr:nvSpPr>
        <xdr:cNvPr id="8" name="Bent-Up Arrow 14">
          <a:extLst>
            <a:ext uri="{FF2B5EF4-FFF2-40B4-BE49-F238E27FC236}">
              <a16:creationId xmlns:a16="http://schemas.microsoft.com/office/drawing/2014/main" id="{9E6517BC-8525-454B-9C1F-803F83948CC0}"/>
            </a:ext>
          </a:extLst>
        </xdr:cNvPr>
        <xdr:cNvSpPr/>
      </xdr:nvSpPr>
      <xdr:spPr>
        <a:xfrm rot="5400000">
          <a:off x="4039310" y="10588471"/>
          <a:ext cx="5341291" cy="7124293"/>
        </a:xfrm>
        <a:prstGeom prst="bentUpArrow">
          <a:avLst>
            <a:gd name="adj1" fmla="val 6492"/>
            <a:gd name="adj2" fmla="val 6443"/>
            <a:gd name="adj3" fmla="val 10496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800"/>
        </a:p>
      </xdr:txBody>
    </xdr:sp>
    <xdr:clientData/>
  </xdr:twoCellAnchor>
  <xdr:twoCellAnchor>
    <xdr:from>
      <xdr:col>7</xdr:col>
      <xdr:colOff>207819</xdr:colOff>
      <xdr:row>66</xdr:row>
      <xdr:rowOff>5301</xdr:rowOff>
    </xdr:from>
    <xdr:to>
      <xdr:col>11</xdr:col>
      <xdr:colOff>1889765</xdr:colOff>
      <xdr:row>67</xdr:row>
      <xdr:rowOff>117474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33875A4-4D6E-4DC0-B4E8-773DC8D9FD23}"/>
            </a:ext>
          </a:extLst>
        </xdr:cNvPr>
        <xdr:cNvSpPr txBox="1"/>
      </xdr:nvSpPr>
      <xdr:spPr>
        <a:xfrm>
          <a:off x="4802910" y="16503756"/>
          <a:ext cx="4695310" cy="331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solidFill>
                <a:schemeClr val="bg1"/>
              </a:solidFill>
            </a:rPr>
            <a:t>Calculate Per Worker Node Sizings</a:t>
          </a:r>
          <a:r>
            <a:rPr lang="en-US" sz="1600" baseline="0">
              <a:solidFill>
                <a:schemeClr val="bg1"/>
              </a:solidFill>
            </a:rPr>
            <a:t> </a:t>
          </a:r>
          <a:endParaRPr lang="en-US" sz="16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623455</xdr:colOff>
      <xdr:row>51</xdr:row>
      <xdr:rowOff>34636</xdr:rowOff>
    </xdr:from>
    <xdr:to>
      <xdr:col>9</xdr:col>
      <xdr:colOff>654401</xdr:colOff>
      <xdr:row>52</xdr:row>
      <xdr:rowOff>158354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8BDDB3-B4A2-DE4F-8719-FCE7B579AD23}"/>
            </a:ext>
          </a:extLst>
        </xdr:cNvPr>
        <xdr:cNvSpPr txBox="1"/>
      </xdr:nvSpPr>
      <xdr:spPr>
        <a:xfrm>
          <a:off x="3521364" y="11360727"/>
          <a:ext cx="3586946" cy="331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>
              <a:solidFill>
                <a:schemeClr val="bg1"/>
              </a:solidFill>
            </a:rPr>
            <a:t>Total Deployment</a:t>
          </a:r>
          <a:r>
            <a:rPr lang="en-US" sz="1600" baseline="0">
              <a:solidFill>
                <a:schemeClr val="bg1"/>
              </a:solidFill>
            </a:rPr>
            <a:t> Requirements</a:t>
          </a:r>
          <a:endParaRPr lang="en-US" sz="1600">
            <a:solidFill>
              <a:schemeClr val="bg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DF65-547C-E24A-ADE5-31550730AC02}">
  <sheetPr codeName="Sheet1">
    <pageSetUpPr fitToPage="1"/>
  </sheetPr>
  <dimension ref="B1:X86"/>
  <sheetViews>
    <sheetView showGridLines="0" showRowColHeaders="0" tabSelected="1" zoomScale="115" zoomScaleNormal="115" workbookViewId="0">
      <selection activeCell="E2" sqref="E2:L2"/>
    </sheetView>
  </sheetViews>
  <sheetFormatPr defaultColWidth="8.75" defaultRowHeight="15.75"/>
  <cols>
    <col min="1" max="1" width="2.25" customWidth="1"/>
    <col min="2" max="2" width="7.75" hidden="1" customWidth="1"/>
    <col min="3" max="4" width="9.25" customWidth="1"/>
    <col min="5" max="5" width="17.25" customWidth="1"/>
    <col min="6" max="6" width="10.5" customWidth="1"/>
    <col min="7" max="7" width="11.75" customWidth="1"/>
    <col min="8" max="8" width="11.5" customWidth="1"/>
    <col min="9" max="9" width="12.75" customWidth="1"/>
    <col min="10" max="10" width="10.5" style="342" customWidth="1"/>
    <col min="11" max="11" width="4.75" style="342" customWidth="1"/>
    <col min="12" max="12" width="37.75" customWidth="1"/>
    <col min="13" max="13" width="11.25" customWidth="1"/>
    <col min="14" max="14" width="15.5" customWidth="1"/>
    <col min="15" max="15" width="16.75" customWidth="1"/>
    <col min="16" max="16" width="16" customWidth="1"/>
    <col min="17" max="17" width="9.75" customWidth="1"/>
    <col min="18" max="18" width="8.25" customWidth="1"/>
    <col min="19" max="19" width="9.25" customWidth="1"/>
    <col min="20" max="20" width="14.75" customWidth="1"/>
    <col min="21" max="21" width="17.25" customWidth="1"/>
    <col min="22" max="22" width="13.25" style="342" customWidth="1"/>
    <col min="23" max="23" width="14" style="342" customWidth="1"/>
    <col min="24" max="24" width="12.25" style="342" customWidth="1"/>
    <col min="25" max="25" width="14" customWidth="1"/>
    <col min="26" max="26" width="13.75" customWidth="1"/>
    <col min="27" max="27" width="10.5" customWidth="1"/>
    <col min="28" max="29" width="8.25" customWidth="1"/>
    <col min="30" max="30" width="9.75" customWidth="1"/>
    <col min="31" max="31" width="6.75" customWidth="1"/>
    <col min="32" max="32" width="10.25" customWidth="1"/>
    <col min="33" max="33" width="7.75" customWidth="1"/>
    <col min="34" max="34" width="7.5" customWidth="1"/>
    <col min="35" max="36" width="8.25" customWidth="1"/>
    <col min="37" max="37" width="9.5" customWidth="1"/>
    <col min="38" max="39" width="8.5" customWidth="1"/>
    <col min="40" max="40" width="10.75" customWidth="1"/>
    <col min="41" max="42" width="8.75" customWidth="1"/>
    <col min="43" max="44" width="10.25" customWidth="1"/>
    <col min="45" max="55" width="8.75" customWidth="1"/>
    <col min="56" max="56" width="10.25" customWidth="1"/>
    <col min="57" max="61" width="8.75" customWidth="1"/>
    <col min="62" max="62" width="10.75" customWidth="1"/>
    <col min="63" max="64" width="8.75" customWidth="1"/>
  </cols>
  <sheetData>
    <row r="1" spans="2:24" ht="7.15" customHeight="1" thickBot="1"/>
    <row r="2" spans="2:24" ht="21">
      <c r="E2" s="415" t="s">
        <v>256</v>
      </c>
      <c r="F2" s="416"/>
      <c r="G2" s="416"/>
      <c r="H2" s="416"/>
      <c r="I2" s="416"/>
      <c r="J2" s="416"/>
      <c r="K2" s="416"/>
      <c r="L2" s="417"/>
    </row>
    <row r="3" spans="2:24" ht="19.5" thickBot="1">
      <c r="E3" s="418" t="s">
        <v>247</v>
      </c>
      <c r="F3" s="419"/>
      <c r="G3" s="419"/>
      <c r="H3" s="419"/>
      <c r="I3" s="419"/>
      <c r="J3" s="419"/>
      <c r="K3" s="419"/>
      <c r="L3" s="420"/>
      <c r="V3"/>
      <c r="W3"/>
      <c r="X3"/>
    </row>
    <row r="4" spans="2:24" ht="16.5" thickBot="1">
      <c r="V4"/>
      <c r="W4"/>
      <c r="X4"/>
    </row>
    <row r="5" spans="2:24" ht="18" customHeight="1">
      <c r="C5" s="491" t="s">
        <v>77</v>
      </c>
      <c r="D5" s="492"/>
      <c r="E5" s="493"/>
      <c r="F5" s="92" t="s">
        <v>12</v>
      </c>
      <c r="H5" s="479" t="s">
        <v>43</v>
      </c>
      <c r="I5" s="480"/>
      <c r="J5" s="479" t="s">
        <v>133</v>
      </c>
      <c r="K5" s="496"/>
      <c r="L5" s="480"/>
      <c r="M5" s="422" t="s">
        <v>70</v>
      </c>
      <c r="N5" s="423"/>
      <c r="O5" s="422" t="s">
        <v>128</v>
      </c>
      <c r="P5" s="423"/>
      <c r="Q5" s="343"/>
      <c r="V5"/>
      <c r="W5"/>
      <c r="X5"/>
    </row>
    <row r="6" spans="2:24" ht="18" customHeight="1" thickBot="1">
      <c r="C6" s="476" t="s">
        <v>75</v>
      </c>
      <c r="D6" s="477"/>
      <c r="E6" s="478"/>
      <c r="F6" s="93" t="s">
        <v>12</v>
      </c>
      <c r="H6" s="481"/>
      <c r="I6" s="482"/>
      <c r="J6" s="481"/>
      <c r="K6" s="497"/>
      <c r="L6" s="482"/>
      <c r="M6" s="424"/>
      <c r="N6" s="425"/>
      <c r="O6" s="424"/>
      <c r="P6" s="425"/>
      <c r="Q6" s="343"/>
      <c r="V6"/>
      <c r="W6"/>
      <c r="X6"/>
    </row>
    <row r="7" spans="2:24" ht="18" customHeight="1">
      <c r="C7" s="488" t="s">
        <v>173</v>
      </c>
      <c r="D7" s="489"/>
      <c r="E7" s="490"/>
      <c r="F7" s="92" t="s">
        <v>12</v>
      </c>
      <c r="H7" s="481"/>
      <c r="I7" s="482"/>
      <c r="J7" s="481"/>
      <c r="K7" s="497"/>
      <c r="L7" s="482"/>
      <c r="M7" s="424"/>
      <c r="N7" s="425"/>
      <c r="O7" s="424"/>
      <c r="P7" s="425"/>
      <c r="Q7" s="343"/>
      <c r="V7"/>
      <c r="W7"/>
      <c r="X7"/>
    </row>
    <row r="8" spans="2:24" ht="18" customHeight="1" thickBot="1">
      <c r="C8" s="428" t="s">
        <v>199</v>
      </c>
      <c r="D8" s="429"/>
      <c r="E8" s="430"/>
      <c r="F8" s="287" t="s">
        <v>11</v>
      </c>
      <c r="H8" s="481"/>
      <c r="I8" s="482"/>
      <c r="J8" s="481"/>
      <c r="K8" s="497"/>
      <c r="L8" s="482"/>
      <c r="M8" s="424"/>
      <c r="N8" s="425"/>
      <c r="O8" s="424"/>
      <c r="P8" s="425"/>
      <c r="Q8" s="343"/>
      <c r="V8"/>
      <c r="W8"/>
      <c r="X8"/>
    </row>
    <row r="9" spans="2:24" ht="18" customHeight="1">
      <c r="C9" s="473" t="s">
        <v>211</v>
      </c>
      <c r="D9" s="474"/>
      <c r="E9" s="475"/>
      <c r="F9" s="288" t="s">
        <v>12</v>
      </c>
      <c r="H9" s="483"/>
      <c r="I9" s="484"/>
      <c r="J9" s="483"/>
      <c r="K9" s="498"/>
      <c r="L9" s="484"/>
      <c r="M9" s="426"/>
      <c r="N9" s="427"/>
      <c r="O9" s="426"/>
      <c r="P9" s="427"/>
      <c r="Q9" s="343"/>
      <c r="V9"/>
      <c r="W9"/>
      <c r="X9"/>
    </row>
    <row r="10" spans="2:24" ht="18" customHeight="1" thickBot="1">
      <c r="C10" s="476" t="s">
        <v>76</v>
      </c>
      <c r="D10" s="477"/>
      <c r="E10" s="478"/>
      <c r="F10" s="93" t="s">
        <v>11</v>
      </c>
      <c r="J10"/>
      <c r="K10"/>
      <c r="Q10" s="343"/>
      <c r="V10"/>
      <c r="W10"/>
      <c r="X10"/>
    </row>
    <row r="11" spans="2:24" ht="19.899999999999999" customHeight="1" thickBot="1">
      <c r="C11" s="488" t="s">
        <v>90</v>
      </c>
      <c r="D11" s="489"/>
      <c r="E11" s="490"/>
      <c r="F11" s="92">
        <v>1</v>
      </c>
      <c r="J11"/>
      <c r="K11"/>
      <c r="V11"/>
      <c r="W11"/>
      <c r="X11"/>
    </row>
    <row r="12" spans="2:24" ht="19.899999999999999" customHeight="1" thickBot="1">
      <c r="B12" s="344"/>
      <c r="C12" s="431" t="s">
        <v>176</v>
      </c>
      <c r="D12" s="432"/>
      <c r="E12" s="433"/>
      <c r="F12" s="93" t="s">
        <v>12</v>
      </c>
      <c r="J12"/>
      <c r="K12"/>
      <c r="L12" s="499" t="s">
        <v>236</v>
      </c>
      <c r="M12" s="31" t="s">
        <v>186</v>
      </c>
      <c r="N12" s="11" t="s">
        <v>189</v>
      </c>
      <c r="O12" s="11" t="s">
        <v>190</v>
      </c>
      <c r="P12" s="31" t="s">
        <v>191</v>
      </c>
      <c r="Q12" s="11" t="s">
        <v>157</v>
      </c>
      <c r="V12"/>
      <c r="W12"/>
      <c r="X12"/>
    </row>
    <row r="13" spans="2:24" ht="19.899999999999999" customHeight="1" thickBot="1">
      <c r="J13"/>
      <c r="K13"/>
      <c r="L13" s="500"/>
      <c r="M13" s="262">
        <f>M24+M35+M42</f>
        <v>25</v>
      </c>
      <c r="N13" s="262">
        <f>N24+N35+N42</f>
        <v>137.5</v>
      </c>
      <c r="O13" s="262">
        <f>O24+O35+O42</f>
        <v>935</v>
      </c>
      <c r="P13" s="262">
        <f>P24+P35+P42</f>
        <v>259.5</v>
      </c>
      <c r="Q13" s="262">
        <f>P24</f>
        <v>0</v>
      </c>
      <c r="V13"/>
      <c r="W13"/>
      <c r="X13"/>
    </row>
    <row r="14" spans="2:24" ht="16.5" thickBot="1">
      <c r="E14" s="234" t="s">
        <v>0</v>
      </c>
      <c r="G14" s="494" t="s">
        <v>21</v>
      </c>
      <c r="H14" s="495"/>
      <c r="I14" s="494" t="s">
        <v>248</v>
      </c>
      <c r="J14" s="495"/>
      <c r="K14"/>
      <c r="L14" s="345" t="s">
        <v>235</v>
      </c>
      <c r="M14" s="262">
        <f>'Data Source'!D26</f>
        <v>4</v>
      </c>
      <c r="N14" s="262">
        <f>'Data Source'!E26</f>
        <v>16</v>
      </c>
      <c r="O14" s="262">
        <f>'Data Source'!F26</f>
        <v>120</v>
      </c>
      <c r="P14" s="262">
        <v>0</v>
      </c>
      <c r="Q14" s="262">
        <v>0</v>
      </c>
      <c r="V14"/>
      <c r="W14"/>
      <c r="X14"/>
    </row>
    <row r="15" spans="2:24" ht="16.5" thickBot="1">
      <c r="E15" s="346"/>
      <c r="F15" s="347" t="s">
        <v>3</v>
      </c>
      <c r="G15" s="89" t="s">
        <v>5</v>
      </c>
      <c r="H15" s="348" t="s">
        <v>4</v>
      </c>
      <c r="I15" s="89" t="s">
        <v>5</v>
      </c>
      <c r="J15" s="348" t="s">
        <v>4</v>
      </c>
      <c r="K15"/>
      <c r="L15" s="192" t="s">
        <v>134</v>
      </c>
      <c r="M15" s="11" t="s">
        <v>186</v>
      </c>
      <c r="N15" s="11" t="s">
        <v>189</v>
      </c>
      <c r="O15" s="11" t="s">
        <v>190</v>
      </c>
      <c r="P15" s="12" t="s">
        <v>14</v>
      </c>
      <c r="V15"/>
      <c r="W15"/>
      <c r="X15"/>
    </row>
    <row r="16" spans="2:24" ht="18" customHeight="1">
      <c r="B16" s="109" t="s">
        <v>159</v>
      </c>
      <c r="D16" s="485" t="s">
        <v>8</v>
      </c>
      <c r="E16" s="349" t="s">
        <v>1</v>
      </c>
      <c r="F16" s="181" t="s">
        <v>11</v>
      </c>
      <c r="G16" s="509" t="s">
        <v>234</v>
      </c>
      <c r="H16" s="511">
        <v>1</v>
      </c>
      <c r="I16" s="350" t="s">
        <v>24</v>
      </c>
      <c r="J16" s="259">
        <v>5</v>
      </c>
      <c r="K16"/>
      <c r="L16" s="189" t="str">
        <f>E16&amp;" - "&amp;IF(F16="Y","Calculated  ","Not Selected  ")</f>
        <v xml:space="preserve">Manage - Calculated  </v>
      </c>
      <c r="M16" s="263">
        <f>IF(ISERROR(VLOOKUP(L16,MASData,2,FALSE)),0,VLOOKUP(L16,MASData,2,FALSE))</f>
        <v>2</v>
      </c>
      <c r="N16" s="263">
        <f>IF(ISERROR(VLOOKUP(L16,MASData,3,FALSE)),0,VLOOKUP(L16,MASData,3,FALSE))</f>
        <v>10</v>
      </c>
      <c r="O16" s="263">
        <f>IF(ISERROR(VLOOKUP(L16,MASData,4,FALSE)),0,VLOOKUP(L16,MASData,4,FALSE))</f>
        <v>0</v>
      </c>
      <c r="P16" s="351"/>
      <c r="V16"/>
      <c r="W16"/>
      <c r="X16"/>
    </row>
    <row r="17" spans="2:24" ht="18" customHeight="1">
      <c r="B17" s="110" t="s">
        <v>11</v>
      </c>
      <c r="D17" s="486"/>
      <c r="E17" s="352" t="s">
        <v>9</v>
      </c>
      <c r="F17" s="182" t="s">
        <v>12</v>
      </c>
      <c r="G17" s="510"/>
      <c r="H17" s="512"/>
      <c r="I17" s="353" t="s">
        <v>24</v>
      </c>
      <c r="J17" s="257">
        <v>0</v>
      </c>
      <c r="K17"/>
      <c r="L17" s="190" t="str">
        <f>E17&amp;" - "&amp;IF(F17="Y","Calculated  ","Not Selected  ")</f>
        <v xml:space="preserve">Health - Not Selected  </v>
      </c>
      <c r="M17" s="264">
        <f>IF(ISERROR(VLOOKUP(L17,MASData,2,FALSE)),0,VLOOKUP(L17,MASData,2,FALSE))</f>
        <v>0</v>
      </c>
      <c r="N17" s="264">
        <f>IF(ISERROR(VLOOKUP(L17,MASData,3,FALSE)),0,VLOOKUP(L17,MASData,3,FALSE))</f>
        <v>0</v>
      </c>
      <c r="O17" s="264">
        <f>IF(ISERROR(VLOOKUP(L17,MASData,4,FALSE)),0,VLOOKUP(L17,MASData,4,FALSE))</f>
        <v>0</v>
      </c>
      <c r="P17" s="354"/>
      <c r="V17"/>
      <c r="W17"/>
      <c r="X17"/>
    </row>
    <row r="18" spans="2:24" ht="18" customHeight="1" thickBot="1">
      <c r="B18" s="111" t="s">
        <v>12</v>
      </c>
      <c r="D18" s="486"/>
      <c r="E18" s="355" t="s">
        <v>6</v>
      </c>
      <c r="F18" s="182" t="s">
        <v>12</v>
      </c>
      <c r="G18" s="353" t="s">
        <v>25</v>
      </c>
      <c r="H18" s="257">
        <v>2500</v>
      </c>
      <c r="I18" s="356" t="s">
        <v>24</v>
      </c>
      <c r="J18" s="260">
        <v>0</v>
      </c>
      <c r="K18"/>
      <c r="L18" s="190" t="str">
        <f>E18&amp;" - "&amp;'Data Source'!P7</f>
        <v xml:space="preserve">Monitor - Not Selected  </v>
      </c>
      <c r="M18" s="264">
        <f>IF(ISERROR(VLOOKUP(L18,MASData,2,FALSE)),0,VLOOKUP(L18,MASData,2,FALSE))</f>
        <v>0</v>
      </c>
      <c r="N18" s="264">
        <f>IF(ISERROR(VLOOKUP(L18,MASData,3,FALSE)),0,VLOOKUP(L18,MASData,3,FALSE))</f>
        <v>0</v>
      </c>
      <c r="O18" s="264">
        <f>IF(ISERROR(VLOOKUP(L18,MASData,4,FALSE)),0,VLOOKUP(L18,MASData,4,FALSE))</f>
        <v>0</v>
      </c>
      <c r="P18" s="354"/>
      <c r="V18"/>
      <c r="W18"/>
      <c r="X18"/>
    </row>
    <row r="19" spans="2:24" ht="18" customHeight="1" thickBot="1">
      <c r="D19" s="486"/>
      <c r="E19" s="352" t="s">
        <v>10</v>
      </c>
      <c r="F19" s="183" t="s">
        <v>12</v>
      </c>
      <c r="G19" s="353" t="s">
        <v>45</v>
      </c>
      <c r="H19" s="391">
        <f>'Predict Data Points'!D21</f>
        <v>65700</v>
      </c>
      <c r="I19" s="393" t="str">
        <f>IF(F19="Y","&lt;--- Predict Data Points Tab","")</f>
        <v/>
      </c>
      <c r="J19" s="358"/>
      <c r="K19"/>
      <c r="L19" s="188" t="str">
        <f>E19&amp;" - "&amp;IF(AND(F19="Y",OR(F17="N",F18="N")),"Requires Health &amp; Monitor  ",'Data Source'!P11)</f>
        <v xml:space="preserve">Predict - Not Selected  </v>
      </c>
      <c r="M19" s="264">
        <f>IF(AND(F19="Y",OR(F17="N",F18="N")),"Error",IF(ISERROR(VLOOKUP(L19,MASData,2,FALSE)),0,VLOOKUP(L19,MASData,2,FALSE)))</f>
        <v>0</v>
      </c>
      <c r="N19" s="264">
        <f>IF(AND(F19="Y",OR(F17="N",F18="N")),"Error",IF(ISERROR(VLOOKUP(L19,MASData,3,FALSE)),0,VLOOKUP(L19,MASData,3,FALSE)))</f>
        <v>0</v>
      </c>
      <c r="O19" s="264">
        <f>IF(AND(F19="Y",OR(F17="N",F18="N")),"Error",IF(ISERROR(VLOOKUP(L19,MASData,4,FALSE)),0,VLOOKUP(L19,MASData,4,FALSE)))</f>
        <v>0</v>
      </c>
      <c r="P19" s="354"/>
      <c r="V19"/>
      <c r="W19"/>
      <c r="X19"/>
    </row>
    <row r="20" spans="2:24" ht="18" customHeight="1">
      <c r="B20" s="109" t="s">
        <v>158</v>
      </c>
      <c r="D20" s="486"/>
      <c r="E20" s="352" t="s">
        <v>84</v>
      </c>
      <c r="F20" s="183" t="s">
        <v>12</v>
      </c>
      <c r="G20" s="353" t="s">
        <v>85</v>
      </c>
      <c r="H20" s="257">
        <v>0</v>
      </c>
      <c r="I20" s="357"/>
      <c r="J20" s="358"/>
      <c r="K20"/>
      <c r="L20" s="190" t="str">
        <f>E20&amp;" - "&amp;IF(AND(F20="Y",F17="N"),"Requires Health",'Data Source'!P19)</f>
        <v xml:space="preserve">H &amp; P - Utilities - Not Selected  </v>
      </c>
      <c r="M20" s="264">
        <f>IF(AND(F20="Y",F17="N"),"Error",IF(ISERROR(VLOOKUP(L20,MASData,2,FALSE)),0,VLOOKUP(L20,MASData,2,FALSE)))</f>
        <v>0</v>
      </c>
      <c r="N20" s="264">
        <f>IF(AND(F20="Y",F17="N"),"Error",IF(ISERROR(VLOOKUP(L20,MASData,3,FALSE)),0,VLOOKUP(L20,MASData,3,FALSE)))</f>
        <v>0</v>
      </c>
      <c r="O20" s="264">
        <f>IF(AND(F20="Y",F17="N"),"Error",IF(ISERROR(VLOOKUP(L20,MASData,4,FALSE)),0,VLOOKUP(L20,MASData,4,FALSE)))</f>
        <v>0</v>
      </c>
      <c r="P20" s="359"/>
      <c r="V20"/>
      <c r="W20"/>
      <c r="X20"/>
    </row>
    <row r="21" spans="2:24" ht="18" customHeight="1" thickBot="1">
      <c r="B21" s="229" t="str">
        <f>IF(AND(COUNTIF(F16:F23,"Y")&gt;1,F21="Y",F10="Y"),"Y","N")</f>
        <v>N</v>
      </c>
      <c r="D21" s="486"/>
      <c r="E21" s="360" t="s">
        <v>18</v>
      </c>
      <c r="F21" s="184" t="s">
        <v>12</v>
      </c>
      <c r="G21" s="353" t="s">
        <v>24</v>
      </c>
      <c r="H21" s="257">
        <v>0</v>
      </c>
      <c r="I21" s="357"/>
      <c r="J21" s="185"/>
      <c r="K21"/>
      <c r="L21" s="190" t="str">
        <f>E21&amp;" - "&amp;'Data Source'!P14</f>
        <v xml:space="preserve">Visual Inspection - Not Selected  </v>
      </c>
      <c r="M21" s="264">
        <f>IF(ISERROR(VLOOKUP(L21,MASData,2,FALSE)),0,VLOOKUP(L21,MASData,2,FALSE))</f>
        <v>0</v>
      </c>
      <c r="N21" s="264">
        <f>IF(ISERROR(VLOOKUP(L21,MASData,3,FALSE)),0,VLOOKUP(L21,MASData,3,FALSE))</f>
        <v>0</v>
      </c>
      <c r="O21" s="264">
        <f>IF(ISERROR(VLOOKUP(L21,MASData,4,FALSE)),0,VLOOKUP(L21,MASData,4,FALSE))</f>
        <v>0</v>
      </c>
      <c r="P21" s="265">
        <f>IF(ISERROR(VLOOKUP(L21,MASData,6,FALSE)),0,VLOOKUP(L21,MASData,6,FALSE))</f>
        <v>0</v>
      </c>
      <c r="V21"/>
      <c r="W21"/>
      <c r="X21"/>
    </row>
    <row r="22" spans="2:24" ht="18" customHeight="1" thickBot="1">
      <c r="D22" s="486"/>
      <c r="E22" s="360" t="s">
        <v>78</v>
      </c>
      <c r="F22" s="182" t="s">
        <v>12</v>
      </c>
      <c r="G22" s="353" t="s">
        <v>24</v>
      </c>
      <c r="H22" s="257">
        <v>0</v>
      </c>
      <c r="I22" s="357"/>
      <c r="J22" s="185"/>
      <c r="K22"/>
      <c r="L22" s="190" t="str">
        <f>E22&amp;" - "&amp;'Data Source'!P15</f>
        <v xml:space="preserve">Assist - Not Selected  </v>
      </c>
      <c r="M22" s="264">
        <f>IF(ISERROR(VLOOKUP(L22,MASData,2,FALSE)),0,VLOOKUP(L22,MASData,2,FALSE))</f>
        <v>0</v>
      </c>
      <c r="N22" s="264">
        <f>IF(ISERROR(VLOOKUP(L22,MASData,3,FALSE)),0,VLOOKUP(L22,MASData,3,FALSE))</f>
        <v>0</v>
      </c>
      <c r="O22" s="264">
        <f>IF(ISERROR(VLOOKUP(L22,MASData,4,FALSE)),0,VLOOKUP(L22,MASData,4,FALSE))</f>
        <v>0</v>
      </c>
      <c r="P22" s="354"/>
      <c r="V22"/>
      <c r="W22"/>
      <c r="X22"/>
    </row>
    <row r="23" spans="2:24" ht="18" customHeight="1" thickBot="1">
      <c r="B23" s="109" t="s">
        <v>202</v>
      </c>
      <c r="D23" s="487"/>
      <c r="E23" s="361" t="s">
        <v>91</v>
      </c>
      <c r="F23" s="180" t="s">
        <v>12</v>
      </c>
      <c r="G23" s="362" t="s">
        <v>24</v>
      </c>
      <c r="H23" s="258">
        <v>0</v>
      </c>
      <c r="I23" s="363"/>
      <c r="J23" s="186"/>
      <c r="K23"/>
      <c r="L23" s="191" t="str">
        <f>E23&amp;" - "&amp;'Data Source'!P21</f>
        <v xml:space="preserve">Optimizer - Not Selected  </v>
      </c>
      <c r="M23" s="264">
        <f>IF(ISERROR(VLOOKUP(L23,MASData,2,FALSE)),0,VLOOKUP(L23,MASData,2,FALSE))</f>
        <v>0</v>
      </c>
      <c r="N23" s="264">
        <f>IF(ISERROR(VLOOKUP(L23,MASData,3,FALSE)),0,VLOOKUP(L23,MASData,3,FALSE))</f>
        <v>0</v>
      </c>
      <c r="O23" s="264">
        <f>IF(ISERROR(VLOOKUP(L23,MASData,4,FALSE)),0,VLOOKUP(L23,MASData,4,FALSE))</f>
        <v>0</v>
      </c>
      <c r="P23" s="364"/>
      <c r="V23"/>
      <c r="W23"/>
      <c r="X23"/>
    </row>
    <row r="24" spans="2:24" ht="16.5" thickBot="1">
      <c r="B24" s="111" t="str">
        <f>IF(OR(AND($F$16="Y",$F$7="N"),AND($F$17="Y",$F$7="N"),AND($F$18="Y",$F$8="N"),$F$19="Y",$F$20="Y",$F$22="Y"),"Y","N")</f>
        <v>Y</v>
      </c>
      <c r="K24"/>
      <c r="L24" s="187" t="s">
        <v>19</v>
      </c>
      <c r="M24" s="266">
        <f>SUM(M16:M23)</f>
        <v>2</v>
      </c>
      <c r="N24" s="266">
        <f>SUM(N16:N23)</f>
        <v>10</v>
      </c>
      <c r="O24" s="266">
        <f>SUM(O16:O23)</f>
        <v>0</v>
      </c>
      <c r="P24" s="267">
        <f>SUM(P16:P23)</f>
        <v>0</v>
      </c>
      <c r="V24"/>
      <c r="W24"/>
      <c r="X24"/>
    </row>
    <row r="25" spans="2:24" ht="15" customHeight="1" thickBot="1">
      <c r="J25"/>
      <c r="K25"/>
      <c r="V25"/>
      <c r="W25"/>
      <c r="X25"/>
    </row>
    <row r="26" spans="2:24" ht="16.149999999999999" customHeight="1" thickBot="1">
      <c r="B26" s="109" t="s">
        <v>203</v>
      </c>
      <c r="J26"/>
      <c r="K26"/>
      <c r="L26" s="192" t="s">
        <v>135</v>
      </c>
      <c r="M26" s="31" t="s">
        <v>186</v>
      </c>
      <c r="N26" s="11" t="s">
        <v>189</v>
      </c>
      <c r="O26" s="11" t="s">
        <v>190</v>
      </c>
      <c r="P26" s="31" t="s">
        <v>191</v>
      </c>
      <c r="V26"/>
      <c r="W26"/>
      <c r="X26"/>
    </row>
    <row r="27" spans="2:24" ht="16.149999999999999" customHeight="1" thickBot="1">
      <c r="B27" s="111" t="str">
        <f>IF(AND(OR(F7="N",F8="N"),F9="Y",COUNTIF(F16:F18,"Y")&gt;0),"Y","N")</f>
        <v>N</v>
      </c>
      <c r="G27" s="502" t="s">
        <v>261</v>
      </c>
      <c r="H27" s="502"/>
      <c r="I27" s="502"/>
      <c r="J27" s="502"/>
      <c r="L27" s="223" t="str">
        <f>E16&amp;"/"&amp;E17&amp;" DB2 - "&amp;'Data Source'!B24</f>
        <v xml:space="preserve">Manage/Health DB2 - Xsmall/Min  </v>
      </c>
      <c r="M27" s="268">
        <f>IF(F7="Y",0,IF(ISERROR(VLOOKUP(L27,MASData,2,FALSE)),0,VLOOKUP(L27,MASData,2,FALSE)))</f>
        <v>12</v>
      </c>
      <c r="N27" s="269">
        <f>IF(F7="Y",0,IF(ISERROR(VLOOKUP(L27,MASData,3,FALSE)),0,VLOOKUP(L27,MASData,3,FALSE)))</f>
        <v>100</v>
      </c>
      <c r="O27" s="269">
        <f>IF(ISERROR(VLOOKUP(L27,MASData,4,FALSE)),0,VLOOKUP(L27,MASData,4,FALSE))</f>
        <v>0</v>
      </c>
      <c r="P27" s="269">
        <f>IF(ISERROR(VLOOKUP(L27,MASData,5,FALSE)),0,VLOOKUP(L27,MASData,5,FALSE))</f>
        <v>259.5</v>
      </c>
      <c r="V27"/>
      <c r="W27"/>
      <c r="X27"/>
    </row>
    <row r="28" spans="2:24" ht="16.149999999999999" customHeight="1" thickBot="1">
      <c r="G28" s="501" t="s">
        <v>258</v>
      </c>
      <c r="H28" s="513" t="str">
        <f>IF($F$16="Y","Manage Specific JVM Requirements","")</f>
        <v>Manage Specific JVM Requirements</v>
      </c>
      <c r="I28" s="513"/>
      <c r="J28" s="513"/>
      <c r="K28"/>
      <c r="L28" s="224" t="str">
        <f>E18&amp;" DB2 - "&amp;'Data Source'!P7</f>
        <v xml:space="preserve">Monitor DB2 - Not Selected  </v>
      </c>
      <c r="M28" s="270">
        <f>IF(F8="Y",0,IF(ISERROR(VLOOKUP(L28,MASData,2,FALSE)),0,VLOOKUP(L28,MASData,2,FALSE)))</f>
        <v>0</v>
      </c>
      <c r="N28" s="271">
        <f>IF(F8="Y",0,IF(ISERROR(VLOOKUP(L28,MASData,3,FALSE)),0,VLOOKUP(L28,MASData,3,FALSE)))</f>
        <v>0</v>
      </c>
      <c r="O28" s="270">
        <f>IF(F8="Y",0,IF(ISERROR(VLOOKUP(L28,MASData,4,FALSE)),0,VLOOKUP(L28,MASData,4,FALSE)))</f>
        <v>0</v>
      </c>
      <c r="P28" s="270">
        <f>IF(F8="Y",0,IF(ISERROR(VLOOKUP(L28,MASData,5,FALSE)),0,VLOOKUP(L28,MASData,5,FALSE)))</f>
        <v>0</v>
      </c>
      <c r="V28"/>
      <c r="W28"/>
      <c r="X28"/>
    </row>
    <row r="29" spans="2:24" ht="16.149999999999999" customHeight="1">
      <c r="B29" s="109" t="s">
        <v>204</v>
      </c>
      <c r="G29" s="501"/>
      <c r="H29" s="392" t="str">
        <f>IF($F$16="Y","MIF","")</f>
        <v>MIF</v>
      </c>
      <c r="I29" s="342" t="str">
        <f>IF($F$16="Y","Reporting","")</f>
        <v>Reporting</v>
      </c>
      <c r="J29" s="342" t="str">
        <f>IF($F$16="Y","Crontask","")</f>
        <v>Crontask</v>
      </c>
      <c r="K29"/>
      <c r="L29" s="224" t="str">
        <f>E16&amp;" - "&amp;IF(F16="Y", "(MIF, Rprt, Crontask) + Cognos  ","Not Selected  ")</f>
        <v xml:space="preserve">Manage - (MIF, Rprt, Crontask) + Cognos  </v>
      </c>
      <c r="M29" s="270">
        <f>IF(ISERROR(VLOOKUP(L29,MASData,2,FALSE)),0,VLOOKUP(L29,MASData,2,FALSE))+IF(ISERROR(VLOOKUP("Cognos",MASData,2,FALSE)),0,VLOOKUP("Cognos",MASData,2,FALSE))</f>
        <v>0</v>
      </c>
      <c r="N29" s="271">
        <f>IF(ISERROR(VLOOKUP(L29,MASData,3,FALSE)),0,VLOOKUP(L29,MASData,3,FALSE))+IF(ISERROR(VLOOKUP("Cognos",MASData,3,FALSE)),0,VLOOKUP("Cognos",MASData,3,FALSE))</f>
        <v>0</v>
      </c>
      <c r="O29" s="270">
        <f>IF(ISERROR(VLOOKUP(L29,MASData,4,FALSE)),0,VLOOKUP(L29,MASData,4,FALSE))+IF(ISERROR(VLOOKUP("Cognos",MASData,4,FALSE)),0,VLOOKUP("Cognos",MASData,4,FALSE))</f>
        <v>0</v>
      </c>
      <c r="P29" s="270">
        <f>IF(ISERROR(VLOOKUP(L29,MASData,5,FALSE)),0,VLOOKUP(L29,MASData,5,FALSE))+IF(ISERROR(VLOOKUP("Cognos",MASData,5,FALSE)),0,VLOOKUP("Cognos",MASData,5,FALSE))</f>
        <v>0</v>
      </c>
      <c r="V29"/>
      <c r="W29"/>
      <c r="X29"/>
    </row>
    <row r="30" spans="2:24" ht="16.149999999999999" customHeight="1">
      <c r="B30" s="110">
        <f>IF(AND(B27="N",B21="N"),M53,IF(AND(B27="Y",B21="Y"),M53-M27-M28-M21-(F11*'Development Detailed Report'!C19)-(F11*'Development Detailed Report'!C18)-(F11*'Development Detailed Report'!C12),IF(B21="Y",M53-M21-(F11*'Development Detailed Report'!C12),M53-M27-M28-(F11*'Development Detailed Report'!C19)-(F11*'Development Detailed Report'!C18))))</f>
        <v>44</v>
      </c>
      <c r="G30" s="396" t="s">
        <v>12</v>
      </c>
      <c r="H30" s="64">
        <v>0</v>
      </c>
      <c r="I30" s="64">
        <v>0</v>
      </c>
      <c r="J30" s="64">
        <v>0</v>
      </c>
      <c r="K30"/>
      <c r="L30" s="224" t="str">
        <f>"Watson Studio - "&amp;'Data Source'!S51</f>
        <v xml:space="preserve">Watson Studio - Not Selected  </v>
      </c>
      <c r="M30" s="270">
        <f>IF(OR(M19="Error",M20="Error"),"Error",IF(ISERROR(VLOOKUP(L30,MASData,2,FALSE)),0,VLOOKUP(L30,MASData,2,FALSE)))</f>
        <v>0</v>
      </c>
      <c r="N30" s="271">
        <f>IF(OR(N19="Error",N20="Error"),"Error",IF(ISERROR(VLOOKUP(L30,MASData,3,FALSE)),0,VLOOKUP(L30,MASData,3,FALSE)))</f>
        <v>0</v>
      </c>
      <c r="O30" s="270">
        <f>IF(OR(O19="Error",O20="Error"),"Error",IF(ISERROR(VLOOKUP(L30,MASData,4,FALSE)),0,VLOOKUP(L30,MASData,4,FALSE)))</f>
        <v>0</v>
      </c>
      <c r="P30" s="265">
        <v>0</v>
      </c>
      <c r="V30"/>
      <c r="W30"/>
      <c r="X30"/>
    </row>
    <row r="31" spans="2:24" ht="16.149999999999999" customHeight="1">
      <c r="B31" s="110">
        <f>IF(AND(B27="N",B21="N"),N53,IF(AND(B27="Y",B21="Y"),N53-N27-N28-N21-(F11*'Development Detailed Report'!D19)-(F11*'Development Detailed Report'!D18)-(F11*'Development Detailed Report'!D12),IF(B21="Y",N53-N21-(F11*'Development Detailed Report'!D12),N53-N27-N28-(F11*'Development Detailed Report'!D19)-(F11*'Development Detailed Report'!D18))))</f>
        <v>275</v>
      </c>
      <c r="D31" s="366"/>
      <c r="F31" s="365"/>
      <c r="G31" s="365"/>
      <c r="K31"/>
      <c r="L31" s="224" t="str">
        <f>"Watson ML - "&amp;'Data Source'!P11</f>
        <v xml:space="preserve">Watson ML - Not Selected  </v>
      </c>
      <c r="M31" s="270">
        <f>IF(M19="Error","Error",IF(ISERROR(VLOOKUP(L31,MASData,2,FALSE)),0,VLOOKUP(L31,MASData,2,FALSE)))</f>
        <v>0</v>
      </c>
      <c r="N31" s="271">
        <f>IF(N19="Error","Error",IF(ISERROR(VLOOKUP(L31,MASData,3,FALSE)),0,VLOOKUP(L31,MASData,3,FALSE)))</f>
        <v>0</v>
      </c>
      <c r="O31" s="270">
        <f>IF(O19="Error","Error",IF(ISERROR(VLOOKUP(L31,MASData,4,FALSE)),0,VLOOKUP(L31,MASData,4,FALSE)))</f>
        <v>0</v>
      </c>
      <c r="P31" s="265">
        <v>0</v>
      </c>
      <c r="V31"/>
      <c r="W31"/>
      <c r="X31"/>
    </row>
    <row r="32" spans="2:24" ht="16.149999999999999" customHeight="1" thickBot="1">
      <c r="B32" s="111">
        <f>IF(B21="N",Q53,Q53-P21-(F11*'Development Detailed Report'!F12))</f>
        <v>0</v>
      </c>
      <c r="F32" s="365"/>
      <c r="G32" s="365"/>
      <c r="H32" s="365"/>
      <c r="J32"/>
      <c r="K32"/>
      <c r="L32" s="224" t="str">
        <f>"Watson Discovery - "&amp;'Data Source'!P15</f>
        <v xml:space="preserve">Watson Discovery - Not Selected  </v>
      </c>
      <c r="M32" s="270">
        <f>IF(ISERROR(VLOOKUP(L32,MASData,2,FALSE)),0,VLOOKUP(L32,MASData,2,FALSE))</f>
        <v>0</v>
      </c>
      <c r="N32" s="271">
        <f>IF(ISERROR(VLOOKUP(L32,MASData,3,FALSE)),0,VLOOKUP(L32,MASData,3,FALSE))</f>
        <v>0</v>
      </c>
      <c r="O32" s="270">
        <f>IF(ISERROR(VLOOKUP(L32,MASData,4,FALSE)),0,VLOOKUP(L32,MASData,4,FALSE))</f>
        <v>0</v>
      </c>
      <c r="P32" s="265">
        <v>0</v>
      </c>
      <c r="V32"/>
      <c r="W32"/>
      <c r="X32"/>
    </row>
    <row r="33" spans="2:24" ht="16.149999999999999" customHeight="1" thickBot="1">
      <c r="F33" s="365"/>
      <c r="K33"/>
      <c r="L33" s="225" t="str">
        <f>"Kafka - "&amp;'Data Source'!P7</f>
        <v xml:space="preserve">Kafka - Not Selected  </v>
      </c>
      <c r="M33" s="270">
        <f>IF(ISERROR(VLOOKUP(L33,MASData,2,FALSE)),0,VLOOKUP(L33,MASData,2,FALSE))</f>
        <v>0</v>
      </c>
      <c r="N33" s="271">
        <f>IF(ISERROR(VLOOKUP(L33,MASData,3,FALSE)),0,VLOOKUP(L33,MASData,3,FALSE))</f>
        <v>0</v>
      </c>
      <c r="O33" s="270">
        <f>IF(ISERROR(VLOOKUP(L33,MASData,4,FALSE)),0,VLOOKUP(L33,MASData,4,FALSE))</f>
        <v>0</v>
      </c>
      <c r="P33" s="265">
        <v>0</v>
      </c>
      <c r="V33"/>
      <c r="W33"/>
      <c r="X33"/>
    </row>
    <row r="34" spans="2:24" ht="16.149999999999999" customHeight="1" thickBot="1">
      <c r="B34" s="109" t="s">
        <v>205</v>
      </c>
      <c r="F34" s="365"/>
      <c r="K34"/>
      <c r="L34" s="224" t="str">
        <f>"CouchDB - "&amp;'Data Source'!P15</f>
        <v xml:space="preserve">CouchDB - Not Selected  </v>
      </c>
      <c r="M34" s="272">
        <f>IF(ISERROR(VLOOKUP(L34,MASData,2,FALSE)),0,VLOOKUP(L34,MASData,2,FALSE))</f>
        <v>0</v>
      </c>
      <c r="N34" s="273">
        <f>IF(ISERROR(VLOOKUP(L34,MASData,3,FALSE)),0,VLOOKUP(L34,MASData,3,FALSE))</f>
        <v>0</v>
      </c>
      <c r="O34" s="272">
        <f>IF(ISERROR(VLOOKUP(L34,MASData,4,FALSE)),0,VLOOKUP(L34,MASData,4,FALSE))</f>
        <v>0</v>
      </c>
      <c r="P34" s="274">
        <v>0</v>
      </c>
      <c r="V34"/>
      <c r="W34"/>
      <c r="X34"/>
    </row>
    <row r="35" spans="2:24" ht="16.899999999999999" customHeight="1" thickBot="1">
      <c r="B35" s="110">
        <f>IF(B21="N",0,M21+(F11*'Development Detailed Report'!C12))</f>
        <v>0</v>
      </c>
      <c r="F35" s="365"/>
      <c r="K35"/>
      <c r="L35" s="187" t="s">
        <v>161</v>
      </c>
      <c r="M35" s="275">
        <f>SUM(M27:M34)</f>
        <v>12</v>
      </c>
      <c r="N35" s="275">
        <f>SUM(N27:N34)</f>
        <v>100</v>
      </c>
      <c r="O35" s="275">
        <f>SUM(O27:O34)</f>
        <v>0</v>
      </c>
      <c r="P35" s="275">
        <f>SUM(P27:P34)</f>
        <v>259.5</v>
      </c>
      <c r="S35" s="32"/>
      <c r="V35"/>
      <c r="W35"/>
      <c r="X35"/>
    </row>
    <row r="36" spans="2:24" ht="16.899999999999999" customHeight="1" thickBot="1">
      <c r="B36" s="110">
        <f>IF(B21="N",0,N21+(F11*'Development Detailed Report'!D12))</f>
        <v>0</v>
      </c>
      <c r="J36"/>
      <c r="K36"/>
      <c r="S36" s="367"/>
      <c r="V36"/>
      <c r="W36"/>
      <c r="X36"/>
    </row>
    <row r="37" spans="2:24" ht="16.899999999999999" customHeight="1" thickBot="1">
      <c r="B37" s="111">
        <f>IF(B21="N",0,Q53)</f>
        <v>0</v>
      </c>
      <c r="I37" s="368"/>
      <c r="J37" s="129"/>
      <c r="K37"/>
      <c r="L37" s="192" t="s">
        <v>147</v>
      </c>
      <c r="M37" s="31" t="s">
        <v>186</v>
      </c>
      <c r="N37" s="34" t="s">
        <v>189</v>
      </c>
      <c r="O37" s="34" t="s">
        <v>190</v>
      </c>
      <c r="P37" s="31" t="s">
        <v>191</v>
      </c>
      <c r="S37" s="367"/>
      <c r="V37"/>
      <c r="W37"/>
      <c r="X37"/>
    </row>
    <row r="38" spans="2:24" ht="16.899999999999999" customHeight="1" thickBot="1">
      <c r="I38" s="368"/>
      <c r="J38" s="129"/>
      <c r="K38"/>
      <c r="L38" s="247" t="str">
        <f>"MongoDB - "&amp;'Data Source'!S35</f>
        <v xml:space="preserve">MongoDB - Xsmall/Min  </v>
      </c>
      <c r="M38" s="276">
        <f>IF(ISERROR(VLOOKUP(L38,MASData,2,FALSE)),0,VLOOKUP(L38,MASData,2,FALSE))</f>
        <v>2</v>
      </c>
      <c r="N38" s="277">
        <f>IF(ISERROR(VLOOKUP(L38,MASData,3,FALSE)),0,VLOOKUP(L38,MASData,3,FALSE))</f>
        <v>0</v>
      </c>
      <c r="O38" s="369">
        <f>IF(ISERROR(VLOOKUP(L38,MASData,4,FALSE)),0,VLOOKUP(L38,MASData,4,FALSE))</f>
        <v>20</v>
      </c>
      <c r="P38" s="369">
        <f>IF(ISERROR(VLOOKUP(L38,MASData,5,FALSE)),0,VLOOKUP(L38,MASData,5,FALSE))</f>
        <v>0</v>
      </c>
      <c r="S38" s="367"/>
      <c r="V38"/>
      <c r="W38"/>
      <c r="X38"/>
    </row>
    <row r="39" spans="2:24" ht="15.75" customHeight="1">
      <c r="B39" s="109" t="s">
        <v>206</v>
      </c>
      <c r="I39" s="368"/>
      <c r="J39" s="129"/>
      <c r="K39"/>
      <c r="L39" s="231" t="str">
        <f>IF(COUNTIF($F$16:$F$23,"Y")&gt;=1,"MAS Core  ","MAS Core - Not Selected  ")</f>
        <v xml:space="preserve">MAS Core  </v>
      </c>
      <c r="M39" s="270">
        <f>IF(ISERROR(VLOOKUP(L39,MASData,2,FALSE)),0,VLOOKUP(L39,MASData,2,FALSE))</f>
        <v>2</v>
      </c>
      <c r="N39" s="271">
        <f>IF(ISERROR(VLOOKUP(L39,MASData,3,FALSE)),0,VLOOKUP(L39,MASData,3,FALSE))</f>
        <v>2</v>
      </c>
      <c r="O39" s="271">
        <f>IF(ISERROR(VLOOKUP(L39,MASData,4,FALSE)),0,VLOOKUP(L39,MASData,4,FALSE))</f>
        <v>20</v>
      </c>
      <c r="P39" s="271">
        <f>IF(ISERROR(VLOOKUP(L39,MASData,5,FALSE)),0,VLOOKUP(L39,MASData,5,FALSE))</f>
        <v>0</v>
      </c>
      <c r="S39" s="367"/>
      <c r="V39"/>
      <c r="W39"/>
      <c r="X39"/>
    </row>
    <row r="40" spans="2:24" ht="15.75" customHeight="1">
      <c r="B40" s="110">
        <f>IF(B27="N",0,M27+M28+(F11*'Development Detailed Report'!C18)+(F11*'Development Detailed Report'!C19))</f>
        <v>0</v>
      </c>
      <c r="I40" s="368"/>
      <c r="J40" s="129"/>
      <c r="K40"/>
      <c r="L40" s="231" t="str">
        <f>IF(COUNTIF($F$16:$F$23,"Y")&gt;=1,"OpenShift Worker Nodes  ","OpenShift Worker Nodes - Not Selected  ")</f>
        <v xml:space="preserve">OpenShift Worker Nodes  </v>
      </c>
      <c r="M40" s="270">
        <f>IF(ISERROR(VLOOKUP(L40,MASData,2,FALSE)),0,VLOOKUP(L40,MASData,2,FALSE))</f>
        <v>3.5</v>
      </c>
      <c r="N40" s="271">
        <f>IF(ISERROR(VLOOKUP(L40,MASData,3,FALSE)),0,VLOOKUP(L40,MASData,3,FALSE))</f>
        <v>15.5</v>
      </c>
      <c r="O40" s="270">
        <f>IF(ISERROR(VLOOKUP(L40,MASData,4,FALSE)),0,VLOOKUP(L40,MASData,4,FALSE))</f>
        <v>240</v>
      </c>
      <c r="P40" s="270">
        <f>IF(ISERROR(VLOOKUP(L40,MASData,5,FALSE)),0,VLOOKUP(L40,MASData,5,FALSE))</f>
        <v>0</v>
      </c>
      <c r="S40" s="367"/>
      <c r="V40"/>
      <c r="W40"/>
      <c r="X40"/>
    </row>
    <row r="41" spans="2:24" ht="15.75" customHeight="1" thickBot="1">
      <c r="B41" s="110">
        <f>IF(B27="N",0,N27+N28+(F11*'Development Detailed Report'!D18)+(F11*'Development Detailed Report'!D19))</f>
        <v>0</v>
      </c>
      <c r="H41" s="370"/>
      <c r="K41"/>
      <c r="L41" s="248" t="str">
        <f>IF(B24="Y","CP4D Base  ","CP4D Base - Not Required  ")</f>
        <v xml:space="preserve">CP4D Base  </v>
      </c>
      <c r="M41" s="274">
        <f>IF(OR(AND($F$16="Y",$F$7="N"),AND($F$17="Y",$F$7="N"),AND($F$18="Y",$F$8="N"),$F$19="Y",$F$20="Y",$F$22="Y"),IF(ISERROR(VLOOKUP(L41,MASData,2,FALSE)),0,VLOOKUP(L41,MASData,2,FALSE)),0)</f>
        <v>3.5</v>
      </c>
      <c r="N41" s="278">
        <f>IF(OR(AND($F$16="Y",$F$7="N"),AND($F$17="Y",$F$7="N"),AND($F$18="Y",$F$8="N"),$F$19="Y",$F$20="Y",$F$22="Y"),IF(ISERROR(VLOOKUP(L41,MASData,3,FALSE)),0,VLOOKUP(L41,MASData,3,FALSE)),0)</f>
        <v>10</v>
      </c>
      <c r="O41" s="274">
        <f>IF(OR(AND($F$16="Y",$F$7="N"),AND($F$17="Y",$F$7="N"),AND($F$18="Y",$F$8="N"),$F$19="Y",$F$20="Y",$F$22="Y"),IF(ISERROR(VLOOKUP(L41,MASData,4,FALSE)),0,VLOOKUP(L41,MASData,4,FALSE)),0)</f>
        <v>655</v>
      </c>
      <c r="P41" s="274">
        <f>IF(OR(AND($F$16="Y",$F$7="N"),AND($F$17="Y",$F$7="N"),AND($F$18="Y",$F$8="N"),$F$19="Y",$F$20="Y",$F$22="Y"),IF(ISERROR(VLOOKUP(L41,MASData,5,FALSE)),0,VLOOKUP(L41,MASData,5,FALSE)),0)</f>
        <v>0</v>
      </c>
      <c r="Q41" s="32"/>
      <c r="V41"/>
      <c r="W41"/>
      <c r="X41"/>
    </row>
    <row r="42" spans="2:24" ht="16.149999999999999" customHeight="1" thickBot="1">
      <c r="B42" s="111">
        <f>COUNTIF(M27:M28,"&gt;0")+COUNTIF(M27:M28,"&gt;0")*F11</f>
        <v>2</v>
      </c>
      <c r="H42" s="370"/>
      <c r="I42" s="370"/>
      <c r="L42" s="234" t="s">
        <v>162</v>
      </c>
      <c r="M42" s="275">
        <f>SUM(M38:M41)</f>
        <v>11</v>
      </c>
      <c r="N42" s="275">
        <f>SUM(N38:N41)</f>
        <v>27.5</v>
      </c>
      <c r="O42" s="275">
        <f>SUM(O38:O41)</f>
        <v>935</v>
      </c>
      <c r="P42" s="275">
        <f>SUM(P38:P41)</f>
        <v>0</v>
      </c>
      <c r="R42" s="367"/>
      <c r="V42"/>
      <c r="W42"/>
      <c r="X42"/>
    </row>
    <row r="43" spans="2:24" ht="16.149999999999999" customHeight="1" thickBot="1">
      <c r="H43" s="370"/>
      <c r="I43" s="370"/>
      <c r="L43" s="234"/>
      <c r="M43" s="239"/>
      <c r="N43" s="239"/>
      <c r="O43" s="239"/>
      <c r="P43" s="239"/>
      <c r="R43" s="367"/>
      <c r="V43"/>
      <c r="W43"/>
      <c r="X43"/>
    </row>
    <row r="44" spans="2:24" ht="19.149999999999999" customHeight="1">
      <c r="B44" s="109" t="s">
        <v>210</v>
      </c>
      <c r="H44" s="370"/>
      <c r="I44" s="370"/>
      <c r="L44" s="506" t="s">
        <v>166</v>
      </c>
      <c r="M44" s="507"/>
      <c r="N44" s="507"/>
      <c r="O44" s="507"/>
      <c r="P44" s="507"/>
      <c r="Q44" s="508"/>
      <c r="R44" s="367"/>
      <c r="V44"/>
      <c r="W44"/>
      <c r="X44"/>
    </row>
    <row r="45" spans="2:24" ht="16.899999999999999" customHeight="1" thickBot="1">
      <c r="B45" s="111">
        <f>COUNTIF(L16:L41,"*Beyond Large*")</f>
        <v>0</v>
      </c>
      <c r="I45" s="370"/>
      <c r="L45" s="246" t="s">
        <v>71</v>
      </c>
      <c r="M45" s="371" t="s">
        <v>186</v>
      </c>
      <c r="N45" s="371" t="s">
        <v>189</v>
      </c>
      <c r="O45" s="371" t="s">
        <v>190</v>
      </c>
      <c r="P45" s="371" t="s">
        <v>191</v>
      </c>
      <c r="Q45" s="372" t="s">
        <v>157</v>
      </c>
      <c r="V45"/>
      <c r="W45"/>
      <c r="X45"/>
    </row>
    <row r="46" spans="2:24" ht="16.899999999999999" customHeight="1" thickBot="1">
      <c r="I46" s="370"/>
      <c r="J46"/>
      <c r="K46"/>
      <c r="L46" s="373" t="s">
        <v>155</v>
      </c>
      <c r="M46" s="279">
        <f>M24+M35+M42</f>
        <v>25</v>
      </c>
      <c r="N46" s="279">
        <f>N24+N35+N42</f>
        <v>137.5</v>
      </c>
      <c r="O46" s="279">
        <f>O24+O35+O42</f>
        <v>935</v>
      </c>
      <c r="P46" s="279">
        <f>P35+P42</f>
        <v>259.5</v>
      </c>
      <c r="Q46" s="280">
        <f>P24</f>
        <v>0</v>
      </c>
      <c r="V46"/>
      <c r="W46"/>
      <c r="X46"/>
    </row>
    <row r="47" spans="2:24" ht="16.899999999999999" customHeight="1">
      <c r="J47"/>
      <c r="K47"/>
      <c r="L47" s="503" t="s">
        <v>167</v>
      </c>
      <c r="M47" s="504"/>
      <c r="N47" s="504"/>
      <c r="O47" s="504"/>
      <c r="P47" s="504"/>
      <c r="Q47" s="505"/>
      <c r="V47"/>
      <c r="W47"/>
      <c r="X47"/>
    </row>
    <row r="48" spans="2:24" ht="16.149999999999999" customHeight="1">
      <c r="J48"/>
      <c r="K48"/>
      <c r="L48" s="406" t="str">
        <f>"Total Development Clusters:  "</f>
        <v xml:space="preserve">Total Development Clusters:  </v>
      </c>
      <c r="M48" s="407">
        <f>F11</f>
        <v>1</v>
      </c>
      <c r="N48" s="374"/>
      <c r="O48" s="374"/>
      <c r="P48" s="374"/>
      <c r="Q48" s="375"/>
      <c r="S48" s="376"/>
      <c r="V48"/>
      <c r="W48"/>
      <c r="X48"/>
    </row>
    <row r="49" spans="12:19" customFormat="1" ht="19.899999999999999" customHeight="1">
      <c r="L49" s="408" t="s">
        <v>71</v>
      </c>
      <c r="M49" s="371" t="s">
        <v>186</v>
      </c>
      <c r="N49" s="371" t="s">
        <v>189</v>
      </c>
      <c r="O49" s="371" t="s">
        <v>190</v>
      </c>
      <c r="P49" s="371" t="s">
        <v>191</v>
      </c>
      <c r="Q49" s="372" t="s">
        <v>157</v>
      </c>
      <c r="S49" s="376"/>
    </row>
    <row r="50" spans="12:19" customFormat="1" ht="19.899999999999999" customHeight="1" thickBot="1">
      <c r="L50" s="373" t="s">
        <v>160</v>
      </c>
      <c r="M50" s="409">
        <f>'Development Detailed Report'!C38</f>
        <v>19</v>
      </c>
      <c r="N50" s="409">
        <f>'Development Detailed Report'!D38</f>
        <v>137.5</v>
      </c>
      <c r="O50" s="409">
        <f>'Development Detailed Report'!E38</f>
        <v>935</v>
      </c>
      <c r="P50" s="409">
        <f>IF(F12="Y",P46,'Development Detailed Report'!F38)</f>
        <v>256</v>
      </c>
      <c r="Q50" s="410">
        <f>'Development Detailed Report'!G38</f>
        <v>0</v>
      </c>
      <c r="S50" s="376"/>
    </row>
    <row r="51" spans="12:19" customFormat="1" ht="19.899999999999999" customHeight="1">
      <c r="L51" s="439" t="s">
        <v>185</v>
      </c>
      <c r="M51" s="440"/>
      <c r="N51" s="440"/>
      <c r="O51" s="440"/>
      <c r="P51" s="440"/>
      <c r="Q51" s="441"/>
      <c r="S51" s="376"/>
    </row>
    <row r="52" spans="12:19" customFormat="1">
      <c r="L52" s="437" t="s">
        <v>71</v>
      </c>
      <c r="M52" s="371" t="s">
        <v>186</v>
      </c>
      <c r="N52" s="371" t="s">
        <v>189</v>
      </c>
      <c r="O52" s="371" t="s">
        <v>190</v>
      </c>
      <c r="P52" s="371" t="s">
        <v>191</v>
      </c>
      <c r="Q52" s="372" t="s">
        <v>157</v>
      </c>
    </row>
    <row r="53" spans="12:19" customFormat="1" ht="16.5" thickBot="1">
      <c r="L53" s="438"/>
      <c r="M53" s="281">
        <f>M46+M50</f>
        <v>44</v>
      </c>
      <c r="N53" s="281">
        <f>N46+N50</f>
        <v>275</v>
      </c>
      <c r="O53" s="281">
        <f>O46+O50</f>
        <v>1870</v>
      </c>
      <c r="P53" s="281">
        <f>P46+P50</f>
        <v>515.5</v>
      </c>
      <c r="Q53" s="282">
        <f>Q46+Q50</f>
        <v>0</v>
      </c>
    </row>
    <row r="54" spans="12:19" customFormat="1" ht="25.15" customHeight="1" thickBot="1"/>
    <row r="55" spans="12:19" customFormat="1" ht="25.15" customHeight="1" thickBot="1">
      <c r="L55" s="434" t="s">
        <v>209</v>
      </c>
      <c r="M55" s="435"/>
      <c r="N55" s="435"/>
      <c r="O55" s="435"/>
      <c r="P55" s="435"/>
      <c r="Q55" s="436"/>
    </row>
    <row r="56" spans="12:19" customFormat="1" ht="22.15" customHeight="1" thickBot="1">
      <c r="L56" s="444" t="s">
        <v>23</v>
      </c>
      <c r="M56" s="445"/>
      <c r="N56" s="377" t="s">
        <v>87</v>
      </c>
      <c r="O56" s="378" t="s">
        <v>187</v>
      </c>
      <c r="P56" s="379" t="s">
        <v>174</v>
      </c>
      <c r="Q56" s="380" t="s">
        <v>175</v>
      </c>
    </row>
    <row r="57" spans="12:19" customFormat="1" ht="43.15" customHeight="1" thickBot="1">
      <c r="L57" s="442" t="str">
        <f>"Master Node Totals: ("&amp;'Data Source'!D26&amp;" vCPUs | "&amp;'Data Source'!E26&amp;" Mem | "&amp;'Data Source'!F26&amp;" Storage)"&amp;CHAR(10)&amp;" Each Master Node: vCPUs="&amp;'Data Source'!B135&amp;", Mem="&amp;'Data Source'!C135&amp;", Storage="&amp;'Data Source'!D135</f>
        <v>Master Node Totals: (4 vCPUs | 16 Mem | 120 Storage)
 Each Master Node: vCPUs=4, Mem=16, Storage=120</v>
      </c>
      <c r="M57" s="443"/>
      <c r="N57" s="256">
        <f>IF(F6="Y",0,IF(F5="Y",3,1))</f>
        <v>1</v>
      </c>
      <c r="O57" s="381"/>
      <c r="P57" s="382"/>
      <c r="Q57" s="383"/>
    </row>
    <row r="58" spans="12:19" customFormat="1" ht="40.15" customHeight="1">
      <c r="L58" s="446" t="str">
        <f>"Totals: ("&amp;B30&amp;" vCPUs | "&amp;B31&amp;" Mem GiB | "&amp;B32&amp;" GPUs)"&amp;CHAR(10)&amp;" Each Worker Node: vCPUs="&amp;O70&amp;", Memory="&amp;O71&amp;IF(B21="N","GiB, GPUs="&amp;O72,"")</f>
        <v>Totals: (44 vCPUs | 275 Mem GiB | 0 GPUs)
 Each Worker Node: vCPUs=0 , Memory=64GiB, GPUs=1</v>
      </c>
      <c r="M58" s="447"/>
      <c r="N58" s="254" t="e">
        <f>MAX(IF(OR(F5="N",F6="Y",F9="Y",F10="Y"),0,2),ROUNDUP(B30/O70,0),ROUNDUP(B31/O71,0),IF(O72=0,0,ROUNDUP(B32/O72,0)))</f>
        <v>#DIV/0!</v>
      </c>
      <c r="O58" s="283" t="e">
        <f>B30/O70</f>
        <v>#DIV/0!</v>
      </c>
      <c r="P58" s="284">
        <f>B31/O71</f>
        <v>4.296875</v>
      </c>
      <c r="Q58" s="285">
        <f>IF(OR(B21="Y",O72=0),0,B32/O72)</f>
        <v>0</v>
      </c>
    </row>
    <row r="59" spans="12:19" customFormat="1" ht="37.9" customHeight="1">
      <c r="L59" s="448" t="str">
        <f>"Totals: ("&amp;B35&amp;" vCPUs | "&amp;B36&amp;" Mem GiB | "&amp;B37&amp;" GPUs)"&amp;CHAR(10)&amp;" Each Worker Node:  vCPUs="&amp;O77&amp;", Memory="&amp;O78&amp;", GPUs="&amp;O79</f>
        <v>Totals: (0 vCPUs | 0 Mem GiB | 0 GPUs)
 Each Worker Node:  vCPUs=16, Memory=256, GPUs=4</v>
      </c>
      <c r="M59" s="449"/>
      <c r="N59" s="292" t="str">
        <f>IF(B21="N","",MAX(ROUNDUP((M21)/O77,0),ROUNDUP((N21)/O78,0),IF(O79=0,0,ROUNDUP((Q53)/O79,0))))</f>
        <v/>
      </c>
      <c r="O59" s="293" t="str">
        <f>IF(B21="Y",B35/O77,"")</f>
        <v/>
      </c>
      <c r="P59" s="294" t="str">
        <f>IF(B21="Y",B36/O78,"")</f>
        <v/>
      </c>
      <c r="Q59" s="295" t="str">
        <f>IF(AND(B21="Y",O79&gt;0),B37/O79,"")</f>
        <v/>
      </c>
    </row>
    <row r="60" spans="12:19" customFormat="1" ht="37.9" customHeight="1" thickBot="1">
      <c r="L60" s="450" t="str">
        <f>"Totals: # of DB Instances = "&amp;B42&amp;"  ("&amp;B40&amp;" vCPUs | "&amp;B41&amp;" Mem GiB)"&amp;CHAR(10)&amp;" Each DB Server Node: vCPUs="&amp;O84&amp;", Memory="&amp;O85</f>
        <v>Totals: # of DB Instances = 2  (0 vCPUs | 0 Mem GiB)
 Each DB Server Node: vCPUs=32, Memory=256</v>
      </c>
      <c r="M60" s="451"/>
      <c r="N60" s="296" t="str">
        <f>IF(B27="N","",MAX(ROUNDUP(B40/O84,0),ROUNDUP(B41/O85,0)))</f>
        <v/>
      </c>
      <c r="O60" s="290" t="str">
        <f>IF(B27="Y",B40/O84,"")</f>
        <v/>
      </c>
      <c r="P60" s="291" t="str">
        <f>IF(B27="Y",B41/O85,"")</f>
        <v/>
      </c>
      <c r="Q60" s="297"/>
    </row>
    <row r="61" spans="12:19" customFormat="1" ht="37.9" customHeight="1" thickBot="1">
      <c r="L61" s="466" t="s">
        <v>207</v>
      </c>
      <c r="M61" s="467"/>
      <c r="N61" s="255">
        <f>O53</f>
        <v>1870</v>
      </c>
      <c r="O61" s="384"/>
      <c r="P61" s="385"/>
      <c r="Q61" s="386"/>
    </row>
    <row r="62" spans="12:19" customFormat="1" ht="39" customHeight="1" thickBot="1">
      <c r="L62" s="466" t="s">
        <v>208</v>
      </c>
      <c r="M62" s="467"/>
      <c r="N62" s="286">
        <f>P53</f>
        <v>515.5</v>
      </c>
      <c r="O62" s="387"/>
      <c r="P62" s="388"/>
      <c r="Q62" s="389"/>
    </row>
    <row r="63" spans="12:19" customFormat="1" ht="15.75" customHeight="1" thickBot="1">
      <c r="L63" s="460" t="e">
        <f>IF(COUNTIF(L16:L41,"*Beyond Large*")&gt;0,"Warning Sizing Contains Beyond Large, Contact Product Management Before Finalizing the Sizing",IF(AND(N58-O58&gt;=1,N58-P58&gt;=1,N58-Q58&gt;=1,N59="",N60=""),"Minimum Configuration for OpenShift Requires at Least 2 Work Nodes",""))</f>
        <v>#DIV/0!</v>
      </c>
      <c r="M63" s="461"/>
      <c r="N63" s="461"/>
      <c r="O63" s="461"/>
      <c r="P63" s="461"/>
      <c r="Q63" s="462"/>
    </row>
    <row r="64" spans="12:19" customFormat="1" ht="15.75" customHeight="1" thickBot="1">
      <c r="L64" s="468" t="str">
        <f>IF(B27="N","",IF(B42&lt;N60,"Alert: Total DB instances are less than servers defined with isolation selected. Recommend increasing DB Worker Node vCPUs &amp;/or Memory.",""))</f>
        <v/>
      </c>
      <c r="M64" s="469"/>
      <c r="N64" s="469"/>
      <c r="O64" s="469"/>
      <c r="P64" s="469"/>
      <c r="Q64" s="470"/>
    </row>
    <row r="65" spans="10:24">
      <c r="J65" s="104"/>
      <c r="K65" s="104"/>
      <c r="L65" s="105"/>
      <c r="M65" s="105"/>
      <c r="N65" s="105"/>
      <c r="O65" s="105"/>
      <c r="P65" s="105"/>
      <c r="Q65" s="105"/>
      <c r="R65" s="105"/>
      <c r="V65"/>
      <c r="W65"/>
      <c r="X65"/>
    </row>
    <row r="66" spans="10:24" ht="16.5" thickBot="1">
      <c r="J66"/>
      <c r="P66" s="342"/>
      <c r="Q66" s="342"/>
      <c r="V66"/>
      <c r="W66"/>
      <c r="X66"/>
    </row>
    <row r="67" spans="10:24" ht="16.5" thickBot="1">
      <c r="J67"/>
      <c r="M67" s="463" t="str">
        <f>IF(B21="N","OpenShift Worker Node Configuration","OpenShift Worker Node Configuration (Non-MVI)")</f>
        <v>OpenShift Worker Node Configuration</v>
      </c>
      <c r="N67" s="464"/>
      <c r="O67" s="465"/>
      <c r="V67"/>
      <c r="W67"/>
      <c r="X67"/>
    </row>
    <row r="68" spans="10:24">
      <c r="J68"/>
      <c r="K68"/>
      <c r="M68" s="452" t="s">
        <v>201</v>
      </c>
      <c r="N68" s="453"/>
      <c r="O68" s="298">
        <v>0</v>
      </c>
      <c r="V68"/>
      <c r="W68"/>
      <c r="X68"/>
    </row>
    <row r="69" spans="10:24">
      <c r="J69"/>
      <c r="K69"/>
      <c r="M69" s="458" t="s">
        <v>200</v>
      </c>
      <c r="N69" s="459"/>
      <c r="O69" s="299">
        <v>16</v>
      </c>
      <c r="V69"/>
      <c r="W69"/>
      <c r="X69"/>
    </row>
    <row r="70" spans="10:24" ht="18">
      <c r="M70" s="471" t="s">
        <v>212</v>
      </c>
      <c r="N70" s="472"/>
      <c r="O70" s="395" t="str">
        <f>O68*O69&amp;" "</f>
        <v xml:space="preserve">0 </v>
      </c>
      <c r="V70"/>
      <c r="W70"/>
      <c r="X70"/>
    </row>
    <row r="71" spans="10:24">
      <c r="M71" s="454" t="s">
        <v>189</v>
      </c>
      <c r="N71" s="455"/>
      <c r="O71" s="394">
        <v>64</v>
      </c>
      <c r="V71"/>
      <c r="W71"/>
      <c r="X71"/>
    </row>
    <row r="72" spans="10:24" ht="16.5" thickBot="1">
      <c r="M72" s="456" t="str">
        <f>IF(B21="N","GPUs","")</f>
        <v>GPUs</v>
      </c>
      <c r="N72" s="457"/>
      <c r="O72" s="300">
        <v>1</v>
      </c>
      <c r="P72" s="80" t="str">
        <f>IF(AND(O72=0,$B$21="N",F21="Y"),"&lt;===== Enter GPUs Per Server","")</f>
        <v/>
      </c>
    </row>
    <row r="74" spans="10:24">
      <c r="M74" s="70" t="str">
        <f>IF(B21="Y","                 MVI Worker Node Configuration","")</f>
        <v/>
      </c>
      <c r="N74" s="70"/>
      <c r="O74" s="70"/>
    </row>
    <row r="75" spans="10:24">
      <c r="M75" s="421" t="str">
        <f>IF(B21="Y","CPU Socket Count","")</f>
        <v/>
      </c>
      <c r="N75" s="421"/>
      <c r="O75" s="64">
        <v>1</v>
      </c>
    </row>
    <row r="76" spans="10:24">
      <c r="M76" s="421" t="str">
        <f>IF(B21="Y","vCPUs per Socket","")</f>
        <v/>
      </c>
      <c r="N76" s="421"/>
      <c r="O76" s="64">
        <v>16</v>
      </c>
    </row>
    <row r="77" spans="10:24">
      <c r="M77" s="421" t="str">
        <f>IF(B21="Y","vCPUs","")</f>
        <v/>
      </c>
      <c r="N77" s="421"/>
      <c r="O77" s="81">
        <f>O75*O76</f>
        <v>16</v>
      </c>
    </row>
    <row r="78" spans="10:24">
      <c r="M78" s="421" t="str">
        <f>IF(B21="Y","Memory (GiB)","")</f>
        <v/>
      </c>
      <c r="N78" s="421"/>
      <c r="O78" s="64">
        <v>256</v>
      </c>
    </row>
    <row r="79" spans="10:24">
      <c r="M79" s="421" t="str">
        <f>IF(B21="Y","GPUs","")</f>
        <v/>
      </c>
      <c r="N79" s="421"/>
      <c r="O79" s="64">
        <v>4</v>
      </c>
    </row>
    <row r="81" spans="13:15">
      <c r="M81" s="70" t="str">
        <f>IF(B27="Y","                  DB Worker Node Configuration","")</f>
        <v/>
      </c>
    </row>
    <row r="82" spans="13:15">
      <c r="M82" s="421" t="str">
        <f>IF(B27="Y","CPU Socket Count","")</f>
        <v/>
      </c>
      <c r="N82" s="421"/>
      <c r="O82" s="64">
        <v>2</v>
      </c>
    </row>
    <row r="83" spans="13:15">
      <c r="M83" s="421" t="str">
        <f>IF(B27="Y","vCPUs per Socket","")</f>
        <v/>
      </c>
      <c r="N83" s="421"/>
      <c r="O83" s="64">
        <v>16</v>
      </c>
    </row>
    <row r="84" spans="13:15">
      <c r="M84" s="421" t="str">
        <f>IF(B27="Y","vCPUs","")</f>
        <v/>
      </c>
      <c r="N84" s="421"/>
      <c r="O84" s="81">
        <f>O82*O83</f>
        <v>32</v>
      </c>
    </row>
    <row r="85" spans="13:15">
      <c r="M85" s="421" t="str">
        <f>IF(B27="Y","Memory (GiB","")</f>
        <v/>
      </c>
      <c r="N85" s="421"/>
      <c r="O85" s="64">
        <v>256</v>
      </c>
    </row>
    <row r="86" spans="13:15">
      <c r="M86" s="289"/>
      <c r="N86" s="289"/>
      <c r="O86" s="390"/>
    </row>
  </sheetData>
  <sheetProtection algorithmName="SHA-512" hashValue="MKx8he5MNdGK5Y4O5iokDbTyHdHoNTfuYIBbqny7ZrpYUHayFgV4uDOtKWMkonRGz/btiYNTLW0r8Yblihb3Yg==" saltValue="ZrGCQOFlx1xu1WhMXLLYuA==" spinCount="100000" sheet="1" objects="1" scenarios="1"/>
  <dataConsolidate/>
  <mergeCells count="52">
    <mergeCell ref="G28:G29"/>
    <mergeCell ref="G27:J27"/>
    <mergeCell ref="M5:N9"/>
    <mergeCell ref="L47:Q47"/>
    <mergeCell ref="L44:Q44"/>
    <mergeCell ref="G16:G17"/>
    <mergeCell ref="H16:H17"/>
    <mergeCell ref="H28:J28"/>
    <mergeCell ref="C9:E9"/>
    <mergeCell ref="C10:E10"/>
    <mergeCell ref="H5:I9"/>
    <mergeCell ref="D16:D23"/>
    <mergeCell ref="C11:E11"/>
    <mergeCell ref="C5:E5"/>
    <mergeCell ref="C6:E6"/>
    <mergeCell ref="C7:E7"/>
    <mergeCell ref="I14:J14"/>
    <mergeCell ref="G14:H14"/>
    <mergeCell ref="J5:L9"/>
    <mergeCell ref="L12:L13"/>
    <mergeCell ref="M79:N79"/>
    <mergeCell ref="M75:N75"/>
    <mergeCell ref="M76:N76"/>
    <mergeCell ref="M77:N77"/>
    <mergeCell ref="M70:N70"/>
    <mergeCell ref="L60:M60"/>
    <mergeCell ref="M68:N68"/>
    <mergeCell ref="M71:N71"/>
    <mergeCell ref="M72:N72"/>
    <mergeCell ref="M78:N78"/>
    <mergeCell ref="M69:N69"/>
    <mergeCell ref="L63:Q63"/>
    <mergeCell ref="M67:O67"/>
    <mergeCell ref="L61:M61"/>
    <mergeCell ref="L62:M62"/>
    <mergeCell ref="L64:Q64"/>
    <mergeCell ref="E2:L2"/>
    <mergeCell ref="E3:L3"/>
    <mergeCell ref="M85:N85"/>
    <mergeCell ref="O5:P9"/>
    <mergeCell ref="C8:E8"/>
    <mergeCell ref="M82:N82"/>
    <mergeCell ref="M83:N83"/>
    <mergeCell ref="M84:N84"/>
    <mergeCell ref="C12:E12"/>
    <mergeCell ref="L55:Q55"/>
    <mergeCell ref="L52:L53"/>
    <mergeCell ref="L51:Q51"/>
    <mergeCell ref="L57:M57"/>
    <mergeCell ref="L56:M56"/>
    <mergeCell ref="L58:M58"/>
    <mergeCell ref="L59:M59"/>
  </mergeCells>
  <conditionalFormatting sqref="G28:G29">
    <cfRule type="expression" dxfId="107" priority="2">
      <formula>$F$16="Y"</formula>
    </cfRule>
  </conditionalFormatting>
  <conditionalFormatting sqref="G27:J27">
    <cfRule type="expression" dxfId="106" priority="1">
      <formula>$F$16="Y"</formula>
    </cfRule>
  </conditionalFormatting>
  <conditionalFormatting sqref="G30:J30">
    <cfRule type="expression" dxfId="105" priority="9">
      <formula>$F$16="Y"</formula>
    </cfRule>
  </conditionalFormatting>
  <conditionalFormatting sqref="H18 J18">
    <cfRule type="expression" dxfId="104" priority="8">
      <formula>$F$18="N"</formula>
    </cfRule>
  </conditionalFormatting>
  <conditionalFormatting sqref="H19">
    <cfRule type="expression" dxfId="103" priority="7">
      <formula>$F$19="N"</formula>
    </cfRule>
  </conditionalFormatting>
  <conditionalFormatting sqref="H20">
    <cfRule type="expression" dxfId="102" priority="6">
      <formula>$F$20="N"</formula>
    </cfRule>
  </conditionalFormatting>
  <conditionalFormatting sqref="H21">
    <cfRule type="expression" dxfId="101" priority="5">
      <formula>$F$21="N"</formula>
    </cfRule>
  </conditionalFormatting>
  <conditionalFormatting sqref="H22">
    <cfRule type="expression" dxfId="100" priority="4">
      <formula>$F$22="N"</formula>
    </cfRule>
  </conditionalFormatting>
  <conditionalFormatting sqref="H23">
    <cfRule type="expression" dxfId="99" priority="3">
      <formula>$F$23="N"</formula>
    </cfRule>
  </conditionalFormatting>
  <conditionalFormatting sqref="H28:J28">
    <cfRule type="expression" dxfId="98" priority="11">
      <formula>$F$16="Y"</formula>
    </cfRule>
  </conditionalFormatting>
  <conditionalFormatting sqref="H29:K29">
    <cfRule type="expression" dxfId="97" priority="10">
      <formula>$F$16="Y"</formula>
    </cfRule>
  </conditionalFormatting>
  <conditionalFormatting sqref="I17:J17">
    <cfRule type="expression" dxfId="96" priority="41">
      <formula>OR($F$16="Y",$F$17="N")</formula>
    </cfRule>
  </conditionalFormatting>
  <conditionalFormatting sqref="J16 H16:H17">
    <cfRule type="expression" dxfId="95" priority="40">
      <formula>$F$16="N"</formula>
    </cfRule>
  </conditionalFormatting>
  <conditionalFormatting sqref="L19">
    <cfRule type="expression" dxfId="94" priority="174">
      <formula>AND($F$19="Y",OR($F$17="N",$F$18="N"))</formula>
    </cfRule>
  </conditionalFormatting>
  <conditionalFormatting sqref="L20">
    <cfRule type="expression" dxfId="93" priority="93">
      <formula>AND($F$20="Y",$F$17="N")</formula>
    </cfRule>
  </conditionalFormatting>
  <conditionalFormatting sqref="L59">
    <cfRule type="expression" dxfId="92" priority="263">
      <formula>$B$21="Y"</formula>
    </cfRule>
  </conditionalFormatting>
  <conditionalFormatting sqref="L60:M60">
    <cfRule type="expression" dxfId="91" priority="14">
      <formula>$B$27="Y"</formula>
    </cfRule>
  </conditionalFormatting>
  <conditionalFormatting sqref="L16:O16">
    <cfRule type="expression" dxfId="90" priority="81">
      <formula>$F$16="N"</formula>
    </cfRule>
  </conditionalFormatting>
  <conditionalFormatting sqref="L17:O17">
    <cfRule type="expression" dxfId="89" priority="80">
      <formula>$F$17="N"</formula>
    </cfRule>
  </conditionalFormatting>
  <conditionalFormatting sqref="L18:O18">
    <cfRule type="expression" dxfId="88" priority="79">
      <formula>$F$18="N"</formula>
    </cfRule>
  </conditionalFormatting>
  <conditionalFormatting sqref="L19:O19">
    <cfRule type="expression" dxfId="87" priority="78">
      <formula>$F$19="N"</formula>
    </cfRule>
  </conditionalFormatting>
  <conditionalFormatting sqref="L20:O20">
    <cfRule type="expression" dxfId="86" priority="77">
      <formula>$F$20="N"</formula>
    </cfRule>
  </conditionalFormatting>
  <conditionalFormatting sqref="L22:O22">
    <cfRule type="expression" dxfId="85" priority="75">
      <formula>$F$22="N"</formula>
    </cfRule>
  </conditionalFormatting>
  <conditionalFormatting sqref="L23:O23">
    <cfRule type="expression" dxfId="84" priority="74">
      <formula>$F$23="N"</formula>
    </cfRule>
  </conditionalFormatting>
  <conditionalFormatting sqref="L21:P21">
    <cfRule type="expression" dxfId="83" priority="76">
      <formula>$F$21="N"</formula>
    </cfRule>
  </conditionalFormatting>
  <conditionalFormatting sqref="L27:P27">
    <cfRule type="expression" dxfId="82" priority="58">
      <formula>AND($F$16="N",$F$17="N")</formula>
    </cfRule>
  </conditionalFormatting>
  <conditionalFormatting sqref="L28:P28">
    <cfRule type="expression" dxfId="81" priority="57">
      <formula>$F$18="N"</formula>
    </cfRule>
  </conditionalFormatting>
  <conditionalFormatting sqref="L29:P29">
    <cfRule type="expression" dxfId="80" priority="56">
      <formula>$F$16="N"</formula>
    </cfRule>
  </conditionalFormatting>
  <conditionalFormatting sqref="L30:P30">
    <cfRule type="expression" dxfId="79" priority="47">
      <formula>AND($F$19="N",$F$20="N")</formula>
    </cfRule>
    <cfRule type="expression" dxfId="78" priority="55">
      <formula>OR($M$19="Error",$M$20="Error")</formula>
    </cfRule>
  </conditionalFormatting>
  <conditionalFormatting sqref="L31:P31">
    <cfRule type="expression" dxfId="77" priority="54">
      <formula>$M$19="Error"</formula>
    </cfRule>
    <cfRule type="expression" dxfId="76" priority="46">
      <formula>$F$19="N"</formula>
    </cfRule>
  </conditionalFormatting>
  <conditionalFormatting sqref="L32:P32">
    <cfRule type="expression" dxfId="75" priority="53">
      <formula>$F$22="N"</formula>
    </cfRule>
  </conditionalFormatting>
  <conditionalFormatting sqref="L33:P33">
    <cfRule type="expression" dxfId="74" priority="52">
      <formula>$F$18="N"</formula>
    </cfRule>
  </conditionalFormatting>
  <conditionalFormatting sqref="L34:P34">
    <cfRule type="expression" dxfId="73" priority="49">
      <formula>$F$22="N"</formula>
    </cfRule>
  </conditionalFormatting>
  <conditionalFormatting sqref="L38:P41">
    <cfRule type="expression" dxfId="72" priority="36">
      <formula>COUNTIF($F$16:$F$23,"Y")&lt;1</formula>
    </cfRule>
  </conditionalFormatting>
  <conditionalFormatting sqref="L41:P41">
    <cfRule type="expression" dxfId="71" priority="35">
      <formula>$B$24="N"</formula>
    </cfRule>
  </conditionalFormatting>
  <conditionalFormatting sqref="M19">
    <cfRule type="expression" dxfId="70" priority="87">
      <formula>$M$19="Error"</formula>
    </cfRule>
  </conditionalFormatting>
  <conditionalFormatting sqref="M77 O77">
    <cfRule type="expression" dxfId="69" priority="256">
      <formula>$B$21="Y"</formula>
    </cfRule>
  </conditionalFormatting>
  <conditionalFormatting sqref="M84">
    <cfRule type="expression" dxfId="68" priority="25">
      <formula>$B$27="Y"</formula>
    </cfRule>
  </conditionalFormatting>
  <conditionalFormatting sqref="M75:N79">
    <cfRule type="expression" dxfId="67" priority="260">
      <formula>$B$21="Y"</formula>
    </cfRule>
  </conditionalFormatting>
  <conditionalFormatting sqref="M82:N85">
    <cfRule type="expression" dxfId="66" priority="24">
      <formula>$B$27="Y"</formula>
    </cfRule>
  </conditionalFormatting>
  <conditionalFormatting sqref="M18:O18">
    <cfRule type="expression" dxfId="65" priority="160">
      <formula>$M$18="Error"</formula>
    </cfRule>
  </conditionalFormatting>
  <conditionalFormatting sqref="M20:O20">
    <cfRule type="expression" dxfId="64" priority="156">
      <formula>$M$20="Error"</formula>
    </cfRule>
  </conditionalFormatting>
  <conditionalFormatting sqref="M72:O72">
    <cfRule type="expression" dxfId="63" priority="265">
      <formula>$B$21="Y"</formula>
    </cfRule>
  </conditionalFormatting>
  <conditionalFormatting sqref="M74:O74">
    <cfRule type="expression" dxfId="62" priority="255">
      <formula>$B$21="Y"</formula>
    </cfRule>
  </conditionalFormatting>
  <conditionalFormatting sqref="M81:O81">
    <cfRule type="expression" dxfId="61" priority="31">
      <formula>$B$27="Y"</formula>
    </cfRule>
  </conditionalFormatting>
  <conditionalFormatting sqref="N19">
    <cfRule type="expression" dxfId="59" priority="154">
      <formula>$N$19="Error"</formula>
    </cfRule>
  </conditionalFormatting>
  <conditionalFormatting sqref="N20">
    <cfRule type="expression" dxfId="58" priority="85">
      <formula>$N$20="Error"</formula>
    </cfRule>
  </conditionalFormatting>
  <conditionalFormatting sqref="N59">
    <cfRule type="expression" dxfId="57" priority="261">
      <formula>$B$21="Y"</formula>
    </cfRule>
  </conditionalFormatting>
  <conditionalFormatting sqref="N60">
    <cfRule type="expression" dxfId="56" priority="13">
      <formula>$B$27="Y"</formula>
    </cfRule>
  </conditionalFormatting>
  <conditionalFormatting sqref="O19">
    <cfRule type="expression" dxfId="55" priority="155">
      <formula>$O$19="Error"</formula>
    </cfRule>
  </conditionalFormatting>
  <conditionalFormatting sqref="O20">
    <cfRule type="expression" dxfId="54" priority="86">
      <formula>$O$20="Error"</formula>
    </cfRule>
  </conditionalFormatting>
  <conditionalFormatting sqref="O58">
    <cfRule type="expression" dxfId="53" priority="39">
      <formula>AND($O$58&gt;=$P$58,$O$58&gt;=$Q$58,COUNTIF($F$16:$F$23,"Y")&gt;=1)</formula>
    </cfRule>
  </conditionalFormatting>
  <conditionalFormatting sqref="O59">
    <cfRule type="expression" dxfId="52" priority="17">
      <formula>AND($O$59&gt;=$P$59,$O$59&gt;=$Q$59,$B$21="Y")</formula>
    </cfRule>
  </conditionalFormatting>
  <conditionalFormatting sqref="O60">
    <cfRule type="expression" dxfId="51" priority="18">
      <formula>AND($O$60&gt;=$P$60,$B$27="Y")</formula>
    </cfRule>
  </conditionalFormatting>
  <conditionalFormatting sqref="O75:O76 O78:O79">
    <cfRule type="expression" dxfId="50" priority="258">
      <formula>$B$21="Y"</formula>
    </cfRule>
  </conditionalFormatting>
  <conditionalFormatting sqref="O82:O83 O85">
    <cfRule type="expression" dxfId="49" priority="33">
      <formula>$B$27="Y"</formula>
    </cfRule>
  </conditionalFormatting>
  <conditionalFormatting sqref="O84">
    <cfRule type="expression" dxfId="48" priority="32">
      <formula>$B$27="Y"</formula>
    </cfRule>
  </conditionalFormatting>
  <conditionalFormatting sqref="O60:P60">
    <cfRule type="expression" dxfId="47" priority="20">
      <formula>$B$27="Y"</formula>
    </cfRule>
  </conditionalFormatting>
  <conditionalFormatting sqref="O59:Q59">
    <cfRule type="expression" dxfId="46" priority="264">
      <formula>$B$21="Y"</formula>
    </cfRule>
  </conditionalFormatting>
  <conditionalFormatting sqref="P30:P34">
    <cfRule type="expression" dxfId="45" priority="162">
      <formula>$M$18="Error"</formula>
    </cfRule>
  </conditionalFormatting>
  <conditionalFormatting sqref="P58">
    <cfRule type="expression" dxfId="44" priority="38">
      <formula>AND($P$58&gt;=$O$58,$P$58&gt;=$Q$58,COUNTIF($F$16:$F$23,"Y")&gt;=1)</formula>
    </cfRule>
  </conditionalFormatting>
  <conditionalFormatting sqref="P59">
    <cfRule type="expression" dxfId="43" priority="16">
      <formula>AND($P$59&gt;=$O$59,$P$59&gt;=$Q$59,$B$21="Y")</formula>
    </cfRule>
  </conditionalFormatting>
  <conditionalFormatting sqref="P60">
    <cfRule type="expression" dxfId="42" priority="19">
      <formula>AND($P$60&gt;=$O$60,$B$27="Y")</formula>
    </cfRule>
  </conditionalFormatting>
  <conditionalFormatting sqref="Q58">
    <cfRule type="expression" dxfId="41" priority="21">
      <formula>AND($Q$58&gt;$P$58,$Q$58&gt;$O$58,COUNTIF($F$16:$F$23,"Y")&gt;=1)</formula>
    </cfRule>
    <cfRule type="expression" dxfId="40" priority="268">
      <formula>AND($Q$53&gt;0,$B$21="N",$O$72=0)</formula>
    </cfRule>
  </conditionalFormatting>
  <conditionalFormatting sqref="Q59">
    <cfRule type="expression" dxfId="39" priority="15">
      <formula>AND($Q$59&gt;=$O$59,$Q$59&gt;=$P$59,$B$21="Y")</formula>
    </cfRule>
    <cfRule type="expression" dxfId="38" priority="267">
      <formula>AND($B$21="Y",$O$79=0)</formula>
    </cfRule>
  </conditionalFormatting>
  <dataValidations xWindow="624" yWindow="628" count="26">
    <dataValidation type="whole" operator="greaterThanOrEqual" allowBlank="1" showInputMessage="1" showErrorMessage="1" errorTitle="Invalid input" error="Must be a whole number equal to or greater than 0. " promptTitle="Estimated Concurrent Users" prompt="*Optional* - Input the estimated number of concurrent users for Manage.  This is the secondary metric for calculating Manage sizing._x000a__x000a_If primary metric (Current JVMs) is also entered, sizing will be the result of the larger of the two calculations." sqref="J16" xr:uid="{C5D37DDF-9B6A-A741-A279-E55FBF11E27F}">
      <formula1>0</formula1>
    </dataValidation>
    <dataValidation type="whole" operator="greaterThanOrEqual" allowBlank="1" showInputMessage="1" showErrorMessage="1" errorTitle="Invalid input" error="Must be a whole number equal to or greater than 0. " promptTitle="Estimated Concurrent Users" prompt="*Optional* - Input the estimated number of concurrent users for Health.  This is the secondary metric for calculating Health sizing.  This is usually very small compared to Manage. NOTE: If Manage is also selected as &quot;Y&quot;, this data is not used for sizing." sqref="J17" xr:uid="{4E97058D-5B84-5941-A72A-03ABE86A233B}">
      <formula1>0</formula1>
    </dataValidation>
    <dataValidation type="whole" operator="greaterThanOrEqual" allowBlank="1" showInputMessage="1" showErrorMessage="1" errorTitle="Invalid input" error="Must be a whole number equal to or greater than 0. " promptTitle="Estimated i/o Points" prompt="Input estimated number of I/O Points for Monitor.  This is the primary metric for determining t-shirt sizing and subsequent resource requirements._x000a__x000a_If secondary metric (Users) is also entered, t-shirt size will be the larger of the two resulting metrics." sqref="H18" xr:uid="{CF0D8FFA-832C-F643-A97A-412ECDFBE782}">
      <formula1>0</formula1>
    </dataValidation>
    <dataValidation type="textLength" operator="lessThan" allowBlank="1" showInputMessage="1" showErrorMessage="1" errorTitle="Invalid input" error="Calculation is created using the Predict Data Points Tab (Sheet)" promptTitle="Estimated Data Points" prompt="Calculated from &quot;Predict I/O Points&quot; Tab. This is the primary metric for determining t-shirt sizing and subsequent resource requirements." sqref="H19" xr:uid="{3ABB6E57-58FF-9047-9830-F2B2C2F8972D}">
      <formula1>0</formula1>
    </dataValidation>
    <dataValidation type="whole" operator="greaterThanOrEqual" allowBlank="1" showInputMessage="1" showErrorMessage="1" errorTitle="Invalid Input" error="Must be a whole number equal to or greater than 0. " promptTitle="Estimated Concurrent Users" prompt="Input the estimated number of concurrent users for MVI.  This determines the t-shirt size and subsequent resource requirements." sqref="H21" xr:uid="{F4699D72-9F06-424F-AF64-2C9D200A2B6F}">
      <formula1>0</formula1>
    </dataValidation>
    <dataValidation type="whole" operator="greaterThanOrEqual" allowBlank="1" showInputMessage="1" showErrorMessage="1" errorTitle="Invalid input" error="Must be a whole number equal to or greater than 0. " promptTitle="Estimated Concurrent Users" prompt="*Optional* - Input estimated number of Users for Monitor.  This is the secondary metric for determining t-shirt sizing and subsequent resource requirements._x000a__x000a_If primary metric is also entered, t-shirt size will be the larger of the two resulting metrics." sqref="J18" xr:uid="{D1FC4DB1-DC80-0D40-88DA-1AF2F95EE944}">
      <formula1>0</formula1>
    </dataValidation>
    <dataValidation type="whole" operator="greaterThanOrEqual" allowBlank="1" showInputMessage="1" showErrorMessage="1" errorTitle="Invalid input" error="Must be an integer " sqref="J19:J20" xr:uid="{6D3927A9-10D3-1D4F-8633-AB538DB83C4B}">
      <formula1>0</formula1>
    </dataValidation>
    <dataValidation type="custom" allowBlank="1" showInputMessage="1" showErrorMessage="1" errorTitle="Must be at least 64GB" error="Maximo Worker Nodes require at least 64GB of memory per server." sqref="O71" xr:uid="{689A0AA7-FF0C-4B4A-BAA0-982F351B84E1}">
      <formula1>O71&gt;=64</formula1>
    </dataValidation>
    <dataValidation type="custom" allowBlank="1" showInputMessage="1" showErrorMessage="1" errorTitle="Must be at least 64GB" error="Maximo Visual Inspection requires at least 64GB of memory per server." sqref="O85 O78" xr:uid="{8071DA28-5C9E-6849-85BB-F8F1499F8984}">
      <formula1>O78&gt;=64</formula1>
    </dataValidation>
    <dataValidation type="whole" operator="greaterThanOrEqual" allowBlank="1" showInputMessage="1" showErrorMessage="1" errorTitle="Invalid input" error="Must be a whole number equal to or greater than 0. " promptTitle="Estimated Concurrent Users" prompt="Input estimated number of Concurrent Users for Optimizer. This is the primary metric for determining t-shirt size &amp; subsequent resource requirements." sqref="H23" xr:uid="{D185307C-C3A1-6540-9DB1-B2962AC0D8D9}">
      <formula1>0</formula1>
    </dataValidation>
    <dataValidation type="whole" operator="greaterThanOrEqual" allowBlank="1" showInputMessage="1" showErrorMessage="1" errorTitle="Invalid input" error="Must be a whole number equal to or greater than 0. " promptTitle="Estimated Concurrent Users" prompt="Input estimated number of concurrent users for Assist. This is the primary metric for determining t-shirt sizing &amp; subsequent resource requirements." sqref="H22" xr:uid="{810C0A04-0FD0-F443-833C-12476534039D}">
      <formula1>0</formula1>
    </dataValidation>
    <dataValidation type="whole" operator="greaterThanOrEqual" allowBlank="1" showInputMessage="1" showErrorMessage="1" errorTitle="Invalid input" error="Must be a whole number equal to or greater than 0. " promptTitle="Estimated Asset Classes" prompt="Enter the esitmated number of Asset Classes.  This determines the t-shirt size and subsequent resource requirements." sqref="H20" xr:uid="{F6EBC432-F8E8-B248-B82E-A7A7DFD70616}">
      <formula1>0</formula1>
    </dataValidation>
    <dataValidation type="whole" operator="greaterThanOrEqual" allowBlank="1" showInputMessage="1" showErrorMessage="1" errorTitle="Dev Environments" error="Must be a whole number greater than or equal to 0." promptTitle="Dev Environmennt Configuration" prompt="Input the number of development environments." sqref="F11" xr:uid="{FC99AF06-AAD7-2746-8D34-5237659A9313}">
      <formula1>0</formula1>
    </dataValidation>
    <dataValidation type="whole" operator="greaterThanOrEqual" allowBlank="1" showInputMessage="1" showErrorMessage="1" errorTitle="Invalid input" error="Must be a whole number equal to or greater than 0. " promptTitle="Input Current JVMs Deployed" prompt="Input the current JVMs deployed with Maximo EAM v7.x.  This is the primary metric for calculating sizing for Manage + Health. If Manage = &quot;N&quot;, data is ignored._x000a__x000a_If (Users) are also entered, sizing will be the result of the larger of the two calculations." sqref="H16:H17" xr:uid="{0377D5ED-BB99-4617-968D-65631E2CB886}">
      <formula1>0</formula1>
    </dataValidation>
    <dataValidation type="list" allowBlank="1" showInputMessage="1" showErrorMessage="1" promptTitle="MAS Application Enable" sqref="F16:F20 G30" xr:uid="{C60208C9-EA4C-CC4A-BDD4-C1A6A6D4A689}">
      <formula1>$B$17:$B$18</formula1>
    </dataValidation>
    <dataValidation type="list" allowBlank="1" showInputMessage="1" showErrorMessage="1" sqref="F21:F23" xr:uid="{9E0F55A0-5530-5549-B83B-DCF471B17078}">
      <formula1>$B$17:$B$18</formula1>
    </dataValidation>
    <dataValidation type="list" allowBlank="1" showInputMessage="1" showErrorMessage="1" promptTitle="OpenShift Configuration" prompt="If YES, a minimum of 3 servers are required for OpenShift Master nodes &amp; 2 servers are required for OpenShift worker nodes.  If NO, Master nodes are configured for 3 VMs on a single server, &amp; worker nodes are configured for 2 VMs on a single server." sqref="F5" xr:uid="{0CD782EF-E22D-E54B-BCCF-7B72BCFDD164}">
      <formula1>$B$17:$B$18</formula1>
    </dataValidation>
    <dataValidation type="list" allowBlank="1" showInputMessage="1" showErrorMessage="1" promptTitle="Existing OpenShift Deployment?" prompt="If YES, Control Plane Nodes are not required and set to zero.  The 2 node minimum requirement for OpenShift worker nodes is also not required. The OpenShift Worker Nodes cluster wide allocation will remain within the calculations." sqref="F6" xr:uid="{451A54F6-B6AD-1442-BE82-36583233FD2F}">
      <formula1>$B$17:$B$18</formula1>
    </dataValidation>
    <dataValidation type="list" allowBlank="1" showInputMessage="1" showErrorMessage="1" promptTitle="Isolate MVI GPU Nodes?" prompt=" If YES, GPU nodes will be calculated separately from Worker Node calculations._x000a_If NO, then GPU nodes will be included in the Worker Node calculations. " sqref="F10" xr:uid="{EC72E13F-B69E-204A-BB92-A88B60F74708}">
      <formula1>$B$17:$B$18</formula1>
    </dataValidation>
    <dataValidation type="list" allowBlank="1" showInputMessage="1" showErrorMessage="1" promptTitle="Existing Database?" prompt="If YES, DB2 and CP4D requirements will not be included in the calculations for Manage and Health.  If NO, both DB2 &amp; CP4D requirements will be included in the calculations." sqref="F7" xr:uid="{00D3C6B9-1D0E-43A6-B093-AF0A6B4E3EF5}">
      <formula1>$B$17:$B$18</formula1>
    </dataValidation>
    <dataValidation type="list" allowBlank="1" showInputMessage="1" showErrorMessage="1" promptTitle="Isolate DB2 Database Server?" prompt=" If YES, DB2 Server will be calculated separately from Worker Node calculations._x000a_If NO, then DB2 database requirements will be included in the  the Worker Node calculations. " sqref="F9" xr:uid="{32F35B63-B20C-4F0D-9487-BF0C00CC306E}">
      <formula1>$B$17:$B$18</formula1>
    </dataValidation>
    <dataValidation type="list" allowBlank="1" showInputMessage="1" showErrorMessage="1" promptTitle="Enforce Dev DB Size = Prod Size?" prompt="If YES, the DB Storage for Dev will be set to the Production Size._x000a_If NO, the DB Storage for Dev will be set to the minumum requirement." sqref="F12" xr:uid="{501E5A34-51ED-467C-A11E-0A8F4CEBBD86}">
      <formula1>$B$17:$B$18</formula1>
    </dataValidation>
    <dataValidation type="list" allowBlank="1" showInputMessage="1" showErrorMessage="1" promptTitle="Existing Database?" prompt="If YES, DB2 and CP4D requirements will not be included in the calculations for Monitor.  If NO, both DB2 &amp; CP4D requirements will be included in the calculations." sqref="F8" xr:uid="{EC350FD4-17AE-4060-9FCA-9A15B4D606EB}">
      <formula1>$B$17:$B$18</formula1>
    </dataValidation>
    <dataValidation type="custom" allowBlank="1" showInputMessage="1" showErrorMessage="1" errorTitle="Must be at least 8 vCPUs" error="Must be at least 8 vCPUs per CPU socket. Please Update." sqref="O69" xr:uid="{495D2A0F-4E15-4537-B4EC-547417F8C772}">
      <formula1>O69&gt;=8</formula1>
    </dataValidation>
    <dataValidation type="custom" allowBlank="1" showInputMessage="1" showErrorMessage="1" errorTitle="Must be at least 8 vCPUs" error="Must be at least 8 vCPUs per CPU socket. Please update." sqref="O76 O83" xr:uid="{AF578568-E169-4A1C-A8C4-3911436354A3}">
      <formula1>O76&gt;=8</formula1>
    </dataValidation>
    <dataValidation type="whole" operator="greaterThanOrEqual" allowBlank="1" showInputMessage="1" showErrorMessage="1" errorTitle="Invalid Input" error="Must be a whole number equal to or greater than 0. " sqref="H30:J30" xr:uid="{1DA8421C-4ED9-5041-B8AA-057AAB6F5B3D}">
      <formula1>0</formula1>
    </dataValidation>
  </dataValidations>
  <pageMargins left="0.25" right="0.25" top="0.75" bottom="0.75" header="0.3" footer="0.3"/>
  <pageSetup scale="53" orientation="portrait" horizontalDpi="4294967293" verticalDpi="0" r:id="rId1"/>
  <ignoredErrors>
    <ignoredError sqref="O28:P28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A54F8AC0-437A-45A9-B6FA-C5E549D7BB8E}">
            <xm:f>'Data Source'!$S$35="Not Selected  "</xm:f>
            <x14:dxf>
              <fill>
                <patternFill>
                  <bgColor theme="0" tint="-0.14996795556505021"/>
                </patternFill>
              </fill>
            </x14:dxf>
          </x14:cfRule>
          <xm:sqref>M38:P38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CA20-74C3-4444-A496-65777A2FA44F}">
  <sheetPr codeName="Sheet2"/>
  <dimension ref="B1:O24"/>
  <sheetViews>
    <sheetView showGridLines="0" showRowColHeaders="0" workbookViewId="0">
      <selection activeCell="C1" sqref="C1:E2"/>
    </sheetView>
  </sheetViews>
  <sheetFormatPr defaultColWidth="11" defaultRowHeight="15.75"/>
  <cols>
    <col min="1" max="1" width="7.5" customWidth="1"/>
    <col min="2" max="2" width="2.75" hidden="1" customWidth="1"/>
    <col min="3" max="3" width="27" customWidth="1"/>
    <col min="4" max="4" width="13.25" customWidth="1"/>
    <col min="5" max="5" width="34.25" customWidth="1"/>
    <col min="6" max="6" width="15.5" hidden="1" customWidth="1"/>
    <col min="7" max="11" width="10.75" hidden="1" customWidth="1"/>
    <col min="12" max="19" width="0" hidden="1" customWidth="1"/>
  </cols>
  <sheetData>
    <row r="1" spans="3:15">
      <c r="C1" s="516" t="s">
        <v>48</v>
      </c>
      <c r="D1" s="517"/>
      <c r="E1" s="518"/>
      <c r="M1" s="516" t="s">
        <v>48</v>
      </c>
      <c r="N1" s="517"/>
      <c r="O1" s="518"/>
    </row>
    <row r="2" spans="3:15" ht="16.5" thickBot="1">
      <c r="C2" s="519"/>
      <c r="D2" s="520"/>
      <c r="E2" s="521"/>
      <c r="M2" s="519"/>
      <c r="N2" s="520"/>
      <c r="O2" s="521"/>
    </row>
    <row r="3" spans="3:15" ht="16.5" thickBot="1">
      <c r="C3" s="514" t="s">
        <v>46</v>
      </c>
      <c r="D3" s="514"/>
      <c r="E3" s="514"/>
      <c r="K3">
        <v>20</v>
      </c>
      <c r="L3" s="20"/>
      <c r="M3" s="514" t="s">
        <v>46</v>
      </c>
      <c r="N3" s="514"/>
      <c r="O3" s="514"/>
    </row>
    <row r="4" spans="3:15">
      <c r="C4" s="42" t="s">
        <v>29</v>
      </c>
      <c r="D4" s="51">
        <v>1</v>
      </c>
      <c r="E4" s="42"/>
      <c r="K4">
        <v>5</v>
      </c>
      <c r="L4" s="35"/>
      <c r="M4" s="42" t="s">
        <v>29</v>
      </c>
      <c r="N4" s="51">
        <v>5</v>
      </c>
      <c r="O4" s="42" t="s">
        <v>52</v>
      </c>
    </row>
    <row r="5" spans="3:15">
      <c r="C5" s="43" t="s">
        <v>37</v>
      </c>
      <c r="D5" s="52">
        <v>1</v>
      </c>
      <c r="E5" s="43"/>
      <c r="F5" t="s">
        <v>59</v>
      </c>
      <c r="K5">
        <v>750</v>
      </c>
      <c r="L5" s="35"/>
      <c r="M5" s="43" t="s">
        <v>37</v>
      </c>
      <c r="N5" s="52">
        <v>25</v>
      </c>
      <c r="O5" s="43"/>
    </row>
    <row r="6" spans="3:15">
      <c r="C6" s="43" t="s">
        <v>30</v>
      </c>
      <c r="D6" s="52">
        <v>2</v>
      </c>
      <c r="E6" s="43"/>
      <c r="F6" t="s">
        <v>60</v>
      </c>
      <c r="G6" t="s">
        <v>49</v>
      </c>
      <c r="I6" t="s">
        <v>51</v>
      </c>
      <c r="K6">
        <v>50</v>
      </c>
      <c r="M6" s="43" t="s">
        <v>30</v>
      </c>
      <c r="N6" s="52">
        <v>60</v>
      </c>
      <c r="O6" s="43" t="s">
        <v>53</v>
      </c>
    </row>
    <row r="7" spans="3:15">
      <c r="C7" s="43" t="s">
        <v>39</v>
      </c>
      <c r="D7" s="52">
        <v>30</v>
      </c>
      <c r="E7" s="43"/>
      <c r="F7" t="s">
        <v>61</v>
      </c>
      <c r="G7" s="70">
        <f>'V8 Calculator'!J17</f>
        <v>0</v>
      </c>
      <c r="I7" s="70">
        <f>G7/D7*D5</f>
        <v>0</v>
      </c>
      <c r="K7">
        <v>24</v>
      </c>
      <c r="L7" s="35"/>
      <c r="M7" s="43" t="s">
        <v>39</v>
      </c>
      <c r="N7" s="52">
        <v>10</v>
      </c>
      <c r="O7" s="43" t="s">
        <v>57</v>
      </c>
    </row>
    <row r="8" spans="3:15">
      <c r="C8" s="43" t="s">
        <v>31</v>
      </c>
      <c r="D8" s="52">
        <v>24</v>
      </c>
      <c r="E8" s="43" t="s">
        <v>38</v>
      </c>
      <c r="F8" s="70">
        <f>D8*D6*D4</f>
        <v>48</v>
      </c>
      <c r="G8" s="70">
        <f>D4*D6*D7</f>
        <v>60</v>
      </c>
      <c r="K8">
        <v>1</v>
      </c>
      <c r="L8" s="35"/>
      <c r="M8" s="43" t="s">
        <v>31</v>
      </c>
      <c r="N8" s="52">
        <v>24</v>
      </c>
      <c r="O8" s="43" t="s">
        <v>38</v>
      </c>
    </row>
    <row r="9" spans="3:15" ht="16.5" thickBot="1">
      <c r="C9" s="44" t="s">
        <v>32</v>
      </c>
      <c r="D9" s="53">
        <v>1</v>
      </c>
      <c r="E9" s="44" t="s">
        <v>38</v>
      </c>
      <c r="M9" s="44" t="s">
        <v>32</v>
      </c>
      <c r="N9" s="53">
        <v>1</v>
      </c>
      <c r="O9" s="44" t="s">
        <v>38</v>
      </c>
    </row>
    <row r="10" spans="3:15">
      <c r="F10" s="70">
        <f>50*F8</f>
        <v>2400</v>
      </c>
      <c r="L10" s="35"/>
    </row>
    <row r="11" spans="3:15">
      <c r="G11" t="s">
        <v>54</v>
      </c>
      <c r="H11" t="s">
        <v>55</v>
      </c>
    </row>
    <row r="12" spans="3:15" ht="16.5" thickBot="1">
      <c r="C12" s="515" t="s">
        <v>28</v>
      </c>
      <c r="D12" s="515"/>
      <c r="E12" s="515"/>
      <c r="M12" s="515" t="s">
        <v>28</v>
      </c>
      <c r="N12" s="515"/>
      <c r="O12" s="515"/>
    </row>
    <row r="13" spans="3:15">
      <c r="C13" s="45" t="s">
        <v>33</v>
      </c>
      <c r="D13" s="51">
        <v>1</v>
      </c>
      <c r="E13" s="48" t="s">
        <v>40</v>
      </c>
      <c r="K13">
        <v>1</v>
      </c>
      <c r="M13" s="45" t="s">
        <v>33</v>
      </c>
      <c r="N13" s="51">
        <v>1</v>
      </c>
      <c r="O13" s="48" t="s">
        <v>40</v>
      </c>
    </row>
    <row r="14" spans="3:15">
      <c r="C14" s="46" t="s">
        <v>34</v>
      </c>
      <c r="D14" s="85">
        <f>D7</f>
        <v>30</v>
      </c>
      <c r="E14" s="49"/>
      <c r="M14" s="46" t="s">
        <v>34</v>
      </c>
      <c r="N14" s="85">
        <f>N7</f>
        <v>10</v>
      </c>
      <c r="O14" s="49"/>
    </row>
    <row r="15" spans="3:15">
      <c r="C15" s="46" t="s">
        <v>35</v>
      </c>
      <c r="D15" s="85">
        <f>D6*D4</f>
        <v>2</v>
      </c>
      <c r="E15" s="49"/>
      <c r="M15" s="46" t="s">
        <v>35</v>
      </c>
      <c r="N15" s="85">
        <f>N6*N4</f>
        <v>300</v>
      </c>
      <c r="O15" s="49"/>
    </row>
    <row r="16" spans="3:15">
      <c r="C16" s="46" t="s">
        <v>41</v>
      </c>
      <c r="D16" s="63" t="s">
        <v>12</v>
      </c>
      <c r="E16" s="49"/>
      <c r="K16" t="s">
        <v>12</v>
      </c>
      <c r="M16" s="46" t="s">
        <v>41</v>
      </c>
      <c r="N16" s="54" t="s">
        <v>12</v>
      </c>
      <c r="O16" s="49"/>
    </row>
    <row r="17" spans="2:15" ht="16.5" thickBot="1">
      <c r="C17" s="47" t="s">
        <v>42</v>
      </c>
      <c r="D17" s="53">
        <v>3</v>
      </c>
      <c r="E17" s="50"/>
      <c r="K17">
        <v>3</v>
      </c>
      <c r="M17" s="47" t="s">
        <v>42</v>
      </c>
      <c r="N17" s="53">
        <v>3</v>
      </c>
      <c r="O17" s="50"/>
    </row>
    <row r="18" spans="2:15">
      <c r="F18" s="70">
        <f>30*48000*50</f>
        <v>72000000</v>
      </c>
    </row>
    <row r="19" spans="2:15" ht="16.5" thickBot="1">
      <c r="C19" s="515" t="s">
        <v>36</v>
      </c>
      <c r="D19" s="515"/>
      <c r="E19" s="515"/>
      <c r="M19" s="515" t="s">
        <v>36</v>
      </c>
      <c r="N19" s="515"/>
      <c r="O19" s="515"/>
    </row>
    <row r="20" spans="2:15" ht="16.5" thickBot="1">
      <c r="C20" s="60" t="s">
        <v>50</v>
      </c>
      <c r="D20" s="86">
        <f>D4*D5*D6*D7*(D8)*D9</f>
        <v>1440</v>
      </c>
      <c r="E20" s="61" t="s">
        <v>62</v>
      </c>
      <c r="G20" s="70">
        <f>D20/1440</f>
        <v>1</v>
      </c>
      <c r="M20" s="60" t="s">
        <v>50</v>
      </c>
      <c r="N20" s="86">
        <f>N4*N5*N6*N7*(N8)*N9</f>
        <v>1800000</v>
      </c>
      <c r="O20" s="61" t="s">
        <v>62</v>
      </c>
    </row>
    <row r="21" spans="2:15" ht="16.5" thickBot="1">
      <c r="C21" s="58" t="s">
        <v>47</v>
      </c>
      <c r="D21" s="87">
        <f>(D15*D17*365*D13*D14)/IF(D16="Y",24,1)</f>
        <v>65700</v>
      </c>
      <c r="E21" s="59" t="s">
        <v>44</v>
      </c>
      <c r="I21" t="s">
        <v>66</v>
      </c>
      <c r="J21">
        <v>25</v>
      </c>
      <c r="M21" s="58" t="s">
        <v>47</v>
      </c>
      <c r="N21" s="88">
        <f>(N15*N17*365*N13*N14)/IF(N16="Y",24,1)</f>
        <v>3285000</v>
      </c>
      <c r="O21" s="59" t="s">
        <v>44</v>
      </c>
    </row>
    <row r="22" spans="2:15" ht="16.5" thickBot="1">
      <c r="I22" t="s">
        <v>67</v>
      </c>
      <c r="J22">
        <v>5</v>
      </c>
    </row>
    <row r="23" spans="2:15" ht="16.5" thickBot="1">
      <c r="B23" t="s">
        <v>11</v>
      </c>
      <c r="C23" s="58" t="s">
        <v>56</v>
      </c>
      <c r="D23" s="88">
        <f>D20+D21</f>
        <v>67140</v>
      </c>
      <c r="E23" s="59"/>
      <c r="I23" t="s">
        <v>68</v>
      </c>
      <c r="J23">
        <v>60</v>
      </c>
      <c r="M23" t="s">
        <v>56</v>
      </c>
      <c r="N23" s="55"/>
    </row>
    <row r="24" spans="2:15">
      <c r="B24" t="s">
        <v>12</v>
      </c>
      <c r="F24" t="s">
        <v>58</v>
      </c>
      <c r="I24" t="s">
        <v>69</v>
      </c>
      <c r="J24">
        <v>10</v>
      </c>
    </row>
  </sheetData>
  <sheetProtection algorithmName="SHA-512" hashValue="jIf5/0o3SxlE+7WBonCWPb68jQyljYKg/LgHOSBnATdZYzuhXmhneAX8SSAnHyajkUJae92pAZ8xNG0d7C3mUw==" saltValue="SzOkEeNo0420RtE6kUUlnw==" spinCount="100000" sheet="1" objects="1" scenarios="1"/>
  <mergeCells count="8">
    <mergeCell ref="C3:E3"/>
    <mergeCell ref="C12:E12"/>
    <mergeCell ref="C19:E19"/>
    <mergeCell ref="C1:E2"/>
    <mergeCell ref="M1:O2"/>
    <mergeCell ref="M3:O3"/>
    <mergeCell ref="M12:O12"/>
    <mergeCell ref="M19:O19"/>
  </mergeCells>
  <dataValidations disablePrompts="1" count="1">
    <dataValidation type="list" allowBlank="1" showInputMessage="1" showErrorMessage="1" sqref="D16 N16" xr:uid="{5D7A090A-2B52-B840-AFF3-687873296EF3}">
      <formula1>$B$23:$B$24</formula1>
    </dataValidation>
  </dataValidation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30029-B46E-F947-A45C-07D7EC32CA30}">
  <sheetPr>
    <pageSetUpPr fitToPage="1"/>
  </sheetPr>
  <dimension ref="B1:N75"/>
  <sheetViews>
    <sheetView showGridLines="0" showRowColHeaders="0" zoomScaleNormal="100" workbookViewId="0">
      <selection activeCell="J34" sqref="J34"/>
    </sheetView>
  </sheetViews>
  <sheetFormatPr defaultColWidth="11" defaultRowHeight="15.75"/>
  <cols>
    <col min="1" max="1" width="3.75" customWidth="1"/>
    <col min="2" max="3" width="18.25" customWidth="1"/>
    <col min="4" max="7" width="10.75" customWidth="1"/>
    <col min="8" max="8" width="13" customWidth="1"/>
    <col min="9" max="9" width="15" customWidth="1"/>
    <col min="10" max="12" width="10.75" customWidth="1"/>
    <col min="14" max="14" width="5.25" hidden="1" customWidth="1"/>
  </cols>
  <sheetData>
    <row r="1" spans="2:14" ht="10.5" customHeight="1" thickBot="1"/>
    <row r="2" spans="2:14">
      <c r="B2" s="522" t="s">
        <v>213</v>
      </c>
      <c r="C2" s="523"/>
      <c r="D2" s="523"/>
      <c r="E2" s="523"/>
      <c r="F2" s="523"/>
      <c r="G2" s="523"/>
      <c r="H2" s="523"/>
      <c r="I2" s="523"/>
      <c r="J2" s="523"/>
      <c r="K2" s="523"/>
      <c r="L2" s="524"/>
    </row>
    <row r="3" spans="2:14" ht="16.149999999999999" customHeight="1" thickBot="1">
      <c r="B3" s="525"/>
      <c r="C3" s="526"/>
      <c r="D3" s="526"/>
      <c r="E3" s="526"/>
      <c r="F3" s="526"/>
      <c r="G3" s="526"/>
      <c r="H3" s="526"/>
      <c r="I3" s="526"/>
      <c r="J3" s="526"/>
      <c r="K3" s="526"/>
      <c r="L3" s="527"/>
    </row>
    <row r="4" spans="2:14" ht="12" customHeight="1" thickBot="1"/>
    <row r="5" spans="2:14" ht="16.5" hidden="1" thickBot="1">
      <c r="B5" s="198"/>
      <c r="C5" s="198"/>
      <c r="D5" s="199" t="str">
        <f>'V8 Calculator'!L16</f>
        <v xml:space="preserve">Manage - Calculated  </v>
      </c>
      <c r="E5" s="199" t="str">
        <f>'V8 Calculator'!L17</f>
        <v xml:space="preserve">Health - Not Selected  </v>
      </c>
      <c r="F5" s="199" t="str">
        <f>'V8 Calculator'!L18</f>
        <v xml:space="preserve">Monitor - Not Selected  </v>
      </c>
      <c r="G5" s="199" t="str">
        <f>'V8 Calculator'!L19</f>
        <v xml:space="preserve">Predict - Not Selected  </v>
      </c>
      <c r="H5" s="199" t="str">
        <f>'V8 Calculator'!L20</f>
        <v xml:space="preserve">H &amp; P - Utilities - Not Selected  </v>
      </c>
      <c r="I5" s="199" t="str">
        <f>'V8 Calculator'!L21</f>
        <v xml:space="preserve">Visual Inspection - Not Selected  </v>
      </c>
      <c r="J5" s="199" t="str">
        <f>'V8 Calculator'!L22</f>
        <v xml:space="preserve">Assist - Not Selected  </v>
      </c>
      <c r="K5" s="199" t="str">
        <f>'V8 Calculator'!L23</f>
        <v xml:space="preserve">Optimizer - Not Selected  </v>
      </c>
      <c r="L5" s="198"/>
    </row>
    <row r="6" spans="2:14" ht="19.5" thickBot="1">
      <c r="B6" s="534" t="s">
        <v>188</v>
      </c>
      <c r="C6" s="535"/>
      <c r="D6" s="103" t="str">
        <f>'V8 Calculator'!E16</f>
        <v>Manage</v>
      </c>
      <c r="E6" s="102" t="str">
        <f>'V8 Calculator'!E17</f>
        <v>Health</v>
      </c>
      <c r="F6" s="102" t="str">
        <f>'V8 Calculator'!E18</f>
        <v>Monitor</v>
      </c>
      <c r="G6" s="102" t="str">
        <f>'V8 Calculator'!E19</f>
        <v>Predict</v>
      </c>
      <c r="H6" s="102" t="str">
        <f>'V8 Calculator'!E20</f>
        <v>H &amp; P - Utilities</v>
      </c>
      <c r="I6" s="102" t="str">
        <f>'V8 Calculator'!E21</f>
        <v>Visual Inspection</v>
      </c>
      <c r="J6" s="102" t="str">
        <f>'V8 Calculator'!E22</f>
        <v>Assist</v>
      </c>
      <c r="K6" s="102" t="str">
        <f>'V8 Calculator'!E23</f>
        <v>Optimizer</v>
      </c>
      <c r="L6" s="11" t="s">
        <v>71</v>
      </c>
    </row>
    <row r="7" spans="2:14" ht="16.5" thickBot="1">
      <c r="B7" s="528" t="s">
        <v>195</v>
      </c>
      <c r="C7" s="529"/>
      <c r="D7" s="301">
        <f t="shared" ref="D7:K7" si="0">IF(ISERROR(VLOOKUP(D5,MASData,2,FALSE)),0,VLOOKUP(D5,MASData,2,FALSE))</f>
        <v>2</v>
      </c>
      <c r="E7" s="301">
        <f t="shared" si="0"/>
        <v>0</v>
      </c>
      <c r="F7" s="301">
        <f t="shared" si="0"/>
        <v>0</v>
      </c>
      <c r="G7" s="301">
        <f t="shared" si="0"/>
        <v>0</v>
      </c>
      <c r="H7" s="301">
        <f t="shared" si="0"/>
        <v>0</v>
      </c>
      <c r="I7" s="301">
        <f t="shared" si="0"/>
        <v>0</v>
      </c>
      <c r="J7" s="301">
        <f t="shared" si="0"/>
        <v>0</v>
      </c>
      <c r="K7" s="301">
        <f t="shared" si="0"/>
        <v>0</v>
      </c>
      <c r="L7" s="302">
        <f>SUM(D7:K7)</f>
        <v>2</v>
      </c>
    </row>
    <row r="8" spans="2:14" ht="3" customHeight="1" thickBot="1">
      <c r="B8" s="312"/>
      <c r="C8" s="313"/>
      <c r="D8" s="310"/>
      <c r="E8" s="310"/>
      <c r="F8" s="310"/>
      <c r="G8" s="310"/>
      <c r="H8" s="310"/>
      <c r="I8" s="310"/>
      <c r="J8" s="310"/>
      <c r="K8" s="310"/>
      <c r="L8" s="311"/>
    </row>
    <row r="9" spans="2:14">
      <c r="B9" s="536" t="str">
        <f>'V8 Calculator'!L27</f>
        <v xml:space="preserve">Manage/Health DB2 - Xsmall/Min  </v>
      </c>
      <c r="C9" s="537"/>
      <c r="D9" s="315">
        <f>IF(N9="Y",'V8 Calculator'!M27,0)</f>
        <v>12</v>
      </c>
      <c r="E9" s="314">
        <f>IF(AND(N10="Y",N9="N"),'V8 Calculator'!M27,0)</f>
        <v>0</v>
      </c>
      <c r="F9" s="314">
        <v>0</v>
      </c>
      <c r="G9" s="314">
        <v>0</v>
      </c>
      <c r="H9" s="314">
        <v>0</v>
      </c>
      <c r="I9" s="314">
        <v>0</v>
      </c>
      <c r="J9" s="314">
        <v>0</v>
      </c>
      <c r="K9" s="320">
        <v>0</v>
      </c>
      <c r="L9" s="322"/>
      <c r="N9" t="str">
        <f>'V8 Calculator'!F16</f>
        <v>Y</v>
      </c>
    </row>
    <row r="10" spans="2:14">
      <c r="B10" s="530" t="str">
        <f>'V8 Calculator'!L28</f>
        <v xml:space="preserve">Monitor DB2 - Not Selected  </v>
      </c>
      <c r="C10" s="531"/>
      <c r="D10" s="316">
        <v>0</v>
      </c>
      <c r="E10" s="309">
        <v>0</v>
      </c>
      <c r="F10" s="309">
        <f>IF(ISERROR(VLOOKUP(B10,MASData,2,FALSE)),0,VLOOKUP(B10,MASData,2,FALSE))</f>
        <v>0</v>
      </c>
      <c r="G10" s="309">
        <v>0</v>
      </c>
      <c r="H10" s="309">
        <v>0</v>
      </c>
      <c r="I10" s="309">
        <v>0</v>
      </c>
      <c r="J10" s="309">
        <v>0</v>
      </c>
      <c r="K10" s="321">
        <v>0</v>
      </c>
      <c r="L10" s="323"/>
      <c r="N10" t="str">
        <f>'V8 Calculator'!F17</f>
        <v>N</v>
      </c>
    </row>
    <row r="11" spans="2:14">
      <c r="B11" s="530" t="str">
        <f>'V8 Calculator'!L29</f>
        <v xml:space="preserve">Manage - (MIF, Rprt, Crontask) + Cognos  </v>
      </c>
      <c r="C11" s="531"/>
      <c r="D11" s="316">
        <f>'V8 Calculator'!M29</f>
        <v>0</v>
      </c>
      <c r="E11" s="309">
        <v>0</v>
      </c>
      <c r="F11" s="309">
        <v>0</v>
      </c>
      <c r="G11" s="309">
        <v>0</v>
      </c>
      <c r="H11" s="309">
        <v>0</v>
      </c>
      <c r="I11" s="309">
        <v>0</v>
      </c>
      <c r="J11" s="309">
        <v>0</v>
      </c>
      <c r="K11" s="321">
        <v>0</v>
      </c>
      <c r="L11" s="323"/>
      <c r="N11" t="str">
        <f>'V8 Calculator'!F18</f>
        <v>N</v>
      </c>
    </row>
    <row r="12" spans="2:14">
      <c r="B12" s="530" t="str">
        <f>'V8 Calculator'!L30</f>
        <v xml:space="preserve">Watson Studio - Not Selected  </v>
      </c>
      <c r="C12" s="531"/>
      <c r="D12" s="316">
        <v>0</v>
      </c>
      <c r="E12" s="309">
        <v>0</v>
      </c>
      <c r="F12" s="309">
        <v>0</v>
      </c>
      <c r="G12" s="309">
        <f>IF(OR(N12="Y",AND(N12="Y",N13="Y")),'V8 Calculator'!M30,0)</f>
        <v>0</v>
      </c>
      <c r="H12" s="309">
        <f>IF(N12="Y",0,'V8 Calculator'!M30)</f>
        <v>0</v>
      </c>
      <c r="I12" s="309">
        <v>0</v>
      </c>
      <c r="J12" s="309">
        <v>0</v>
      </c>
      <c r="K12" s="321">
        <v>0</v>
      </c>
      <c r="L12" s="323"/>
      <c r="N12" t="str">
        <f>'V8 Calculator'!F19</f>
        <v>N</v>
      </c>
    </row>
    <row r="13" spans="2:14">
      <c r="B13" s="530" t="str">
        <f>'V8 Calculator'!L31</f>
        <v xml:space="preserve">Watson ML - Not Selected  </v>
      </c>
      <c r="C13" s="531"/>
      <c r="D13" s="316">
        <v>0</v>
      </c>
      <c r="E13" s="309">
        <v>0</v>
      </c>
      <c r="F13" s="309">
        <v>0</v>
      </c>
      <c r="G13" s="309">
        <f>'V8 Calculator'!M31</f>
        <v>0</v>
      </c>
      <c r="H13" s="309">
        <v>0</v>
      </c>
      <c r="I13" s="309">
        <v>0</v>
      </c>
      <c r="J13" s="309">
        <v>0</v>
      </c>
      <c r="K13" s="321">
        <v>0</v>
      </c>
      <c r="L13" s="323"/>
      <c r="N13" t="str">
        <f>'V8 Calculator'!F20</f>
        <v>N</v>
      </c>
    </row>
    <row r="14" spans="2:14">
      <c r="B14" s="530" t="str">
        <f>'V8 Calculator'!L32</f>
        <v xml:space="preserve">Watson Discovery - Not Selected  </v>
      </c>
      <c r="C14" s="531"/>
      <c r="D14" s="316">
        <v>0</v>
      </c>
      <c r="E14" s="309">
        <v>0</v>
      </c>
      <c r="F14" s="309">
        <v>0</v>
      </c>
      <c r="G14" s="309">
        <v>0</v>
      </c>
      <c r="H14" s="309">
        <v>0</v>
      </c>
      <c r="I14" s="309">
        <v>0</v>
      </c>
      <c r="J14" s="309">
        <f>'V8 Calculator'!M32</f>
        <v>0</v>
      </c>
      <c r="K14" s="321">
        <v>0</v>
      </c>
      <c r="L14" s="323"/>
      <c r="N14" t="str">
        <f>'V8 Calculator'!F21</f>
        <v>N</v>
      </c>
    </row>
    <row r="15" spans="2:14">
      <c r="B15" s="530" t="str">
        <f>'V8 Calculator'!L33</f>
        <v xml:space="preserve">Kafka - Not Selected  </v>
      </c>
      <c r="C15" s="531"/>
      <c r="D15" s="316">
        <v>0</v>
      </c>
      <c r="E15" s="305">
        <v>0</v>
      </c>
      <c r="F15" s="305">
        <f>'V8 Calculator'!M33</f>
        <v>0</v>
      </c>
      <c r="G15" s="305">
        <v>0</v>
      </c>
      <c r="H15" s="305">
        <v>0</v>
      </c>
      <c r="I15" s="305">
        <v>0</v>
      </c>
      <c r="J15" s="305">
        <v>0</v>
      </c>
      <c r="K15" s="306">
        <v>0</v>
      </c>
      <c r="L15" s="324"/>
      <c r="N15" t="str">
        <f>'V8 Calculator'!F22</f>
        <v>N</v>
      </c>
    </row>
    <row r="16" spans="2:14" ht="16.5" thickBot="1">
      <c r="B16" s="532" t="str">
        <f>'V8 Calculator'!L34</f>
        <v xml:space="preserve">CouchDB - Not Selected  </v>
      </c>
      <c r="C16" s="533"/>
      <c r="D16" s="317">
        <v>0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7">
        <f>IF(ISERROR(VLOOKUP(B16,MASData,2,FALSE)),0,VLOOKUP(B16,MASData,2,FALSE))</f>
        <v>0</v>
      </c>
      <c r="K16" s="308">
        <v>0</v>
      </c>
      <c r="L16" s="325"/>
      <c r="N16" t="str">
        <f>'V8 Calculator'!F23</f>
        <v>N</v>
      </c>
    </row>
    <row r="17" spans="2:12" ht="15.75" customHeight="1" thickBot="1">
      <c r="B17" s="546" t="s">
        <v>219</v>
      </c>
      <c r="C17" s="547"/>
      <c r="D17" s="547"/>
      <c r="E17" s="547"/>
      <c r="F17" s="547"/>
      <c r="G17" s="547"/>
      <c r="H17" s="547"/>
      <c r="I17" s="547"/>
      <c r="J17" s="547"/>
      <c r="K17" s="548"/>
      <c r="L17" s="319">
        <f>SUM(D9:K16)</f>
        <v>12</v>
      </c>
    </row>
    <row r="18" spans="2:12" ht="3" customHeight="1" thickBot="1">
      <c r="B18" s="196"/>
      <c r="C18" s="197"/>
      <c r="D18" s="318"/>
      <c r="E18" s="303"/>
      <c r="F18" s="303"/>
      <c r="G18" s="303"/>
      <c r="H18" s="303"/>
      <c r="I18" s="303"/>
      <c r="J18" s="303"/>
      <c r="K18" s="303"/>
      <c r="L18" s="304"/>
    </row>
    <row r="19" spans="2:12">
      <c r="B19" s="536" t="str">
        <f>'V8 Calculator'!L38</f>
        <v xml:space="preserve">MongoDB - Xsmall/Min  </v>
      </c>
      <c r="C19" s="552"/>
      <c r="D19" s="542">
        <f>'V8 Calculator'!M38</f>
        <v>2</v>
      </c>
      <c r="E19" s="543"/>
      <c r="F19" s="543"/>
      <c r="G19" s="543"/>
      <c r="H19" s="543"/>
      <c r="I19" s="543"/>
      <c r="J19" s="543"/>
      <c r="K19" s="543"/>
      <c r="L19" s="554"/>
    </row>
    <row r="20" spans="2:12">
      <c r="B20" s="530" t="str">
        <f>'V8 Calculator'!L39</f>
        <v xml:space="preserve">MAS Core  </v>
      </c>
      <c r="C20" s="553"/>
      <c r="D20" s="544">
        <f>'V8 Calculator'!M39</f>
        <v>2</v>
      </c>
      <c r="E20" s="545"/>
      <c r="F20" s="545"/>
      <c r="G20" s="545"/>
      <c r="H20" s="545"/>
      <c r="I20" s="545"/>
      <c r="J20" s="545"/>
      <c r="K20" s="545"/>
      <c r="L20" s="555"/>
    </row>
    <row r="21" spans="2:12">
      <c r="B21" s="530" t="str">
        <f>'V8 Calculator'!L40</f>
        <v xml:space="preserve">OpenShift Worker Nodes  </v>
      </c>
      <c r="C21" s="553"/>
      <c r="D21" s="544">
        <f>'V8 Calculator'!M40</f>
        <v>3.5</v>
      </c>
      <c r="E21" s="545"/>
      <c r="F21" s="545"/>
      <c r="G21" s="545"/>
      <c r="H21" s="545"/>
      <c r="I21" s="545"/>
      <c r="J21" s="545"/>
      <c r="K21" s="545"/>
      <c r="L21" s="555"/>
    </row>
    <row r="22" spans="2:12" ht="16.5" thickBot="1">
      <c r="B22" s="532" t="str">
        <f>'V8 Calculator'!L41</f>
        <v xml:space="preserve">CP4D Base  </v>
      </c>
      <c r="C22" s="538"/>
      <c r="D22" s="557">
        <f>'V8 Calculator'!M41</f>
        <v>3.5</v>
      </c>
      <c r="E22" s="558"/>
      <c r="F22" s="558"/>
      <c r="G22" s="558"/>
      <c r="H22" s="558"/>
      <c r="I22" s="558"/>
      <c r="J22" s="558"/>
      <c r="K22" s="558"/>
      <c r="L22" s="556"/>
    </row>
    <row r="23" spans="2:12" ht="16.5" thickBot="1">
      <c r="B23" s="539" t="s">
        <v>222</v>
      </c>
      <c r="C23" s="540"/>
      <c r="D23" s="540"/>
      <c r="E23" s="540"/>
      <c r="F23" s="540"/>
      <c r="G23" s="540"/>
      <c r="H23" s="540"/>
      <c r="I23" s="540"/>
      <c r="J23" s="540"/>
      <c r="K23" s="541"/>
      <c r="L23" s="326">
        <f>SUM(D19:K22)</f>
        <v>11</v>
      </c>
    </row>
    <row r="24" spans="2:12" ht="16.5" thickBot="1">
      <c r="B24" s="549" t="s">
        <v>214</v>
      </c>
      <c r="C24" s="550"/>
      <c r="D24" s="550"/>
      <c r="E24" s="550"/>
      <c r="F24" s="550"/>
      <c r="G24" s="550"/>
      <c r="H24" s="550"/>
      <c r="I24" s="550"/>
      <c r="J24" s="550"/>
      <c r="K24" s="551"/>
      <c r="L24" s="327">
        <f>L23+L17+L7</f>
        <v>25</v>
      </c>
    </row>
    <row r="25" spans="2:12" ht="28.15" customHeight="1" thickBot="1"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30"/>
    </row>
    <row r="26" spans="2:12" ht="19.5" thickBot="1">
      <c r="B26" s="534" t="s">
        <v>189</v>
      </c>
      <c r="C26" s="535"/>
      <c r="D26" s="103" t="str">
        <f>D6</f>
        <v>Manage</v>
      </c>
      <c r="E26" s="103" t="str">
        <f t="shared" ref="E26:K26" si="1">E6</f>
        <v>Health</v>
      </c>
      <c r="F26" s="103" t="str">
        <f t="shared" si="1"/>
        <v>Monitor</v>
      </c>
      <c r="G26" s="103" t="str">
        <f t="shared" si="1"/>
        <v>Predict</v>
      </c>
      <c r="H26" s="103" t="str">
        <f t="shared" si="1"/>
        <v>H &amp; P - Utilities</v>
      </c>
      <c r="I26" s="103" t="str">
        <f t="shared" si="1"/>
        <v>Visual Inspection</v>
      </c>
      <c r="J26" s="103" t="str">
        <f t="shared" si="1"/>
        <v>Assist</v>
      </c>
      <c r="K26" s="103" t="str">
        <f t="shared" si="1"/>
        <v>Optimizer</v>
      </c>
      <c r="L26" s="11" t="s">
        <v>71</v>
      </c>
    </row>
    <row r="27" spans="2:12" ht="16.5" thickBot="1">
      <c r="B27" s="528" t="s">
        <v>215</v>
      </c>
      <c r="C27" s="529"/>
      <c r="D27" s="301">
        <f t="shared" ref="D27:K27" si="2">IF(ISERROR(VLOOKUP(D5,MASData,3,FALSE)),0,VLOOKUP(D5,MASData,3,FALSE))</f>
        <v>10</v>
      </c>
      <c r="E27" s="301">
        <f t="shared" si="2"/>
        <v>0</v>
      </c>
      <c r="F27" s="301">
        <f t="shared" si="2"/>
        <v>0</v>
      </c>
      <c r="G27" s="301">
        <f t="shared" si="2"/>
        <v>0</v>
      </c>
      <c r="H27" s="301">
        <f t="shared" si="2"/>
        <v>0</v>
      </c>
      <c r="I27" s="301">
        <f t="shared" si="2"/>
        <v>0</v>
      </c>
      <c r="J27" s="301">
        <f t="shared" si="2"/>
        <v>0</v>
      </c>
      <c r="K27" s="301">
        <f t="shared" si="2"/>
        <v>0</v>
      </c>
      <c r="L27" s="302">
        <f>SUM(D27:K27)</f>
        <v>10</v>
      </c>
    </row>
    <row r="28" spans="2:12" ht="3" customHeight="1" thickBot="1">
      <c r="B28" s="312"/>
      <c r="C28" s="313"/>
      <c r="D28" s="310"/>
      <c r="E28" s="310"/>
      <c r="F28" s="310"/>
      <c r="G28" s="310"/>
      <c r="H28" s="310"/>
      <c r="I28" s="310"/>
      <c r="J28" s="310"/>
      <c r="K28" s="310"/>
      <c r="L28" s="311"/>
    </row>
    <row r="29" spans="2:12">
      <c r="B29" s="536" t="str">
        <f>B9</f>
        <v xml:space="preserve">Manage/Health DB2 - Xsmall/Min  </v>
      </c>
      <c r="C29" s="537"/>
      <c r="D29" s="315">
        <f>IF(N9="Y",'V8 Calculator'!N27,0)</f>
        <v>100</v>
      </c>
      <c r="E29" s="314">
        <f>IF(AND(N10="Y",N9="N"),'V8 Calculator'!N27,0)</f>
        <v>0</v>
      </c>
      <c r="F29" s="314">
        <v>0</v>
      </c>
      <c r="G29" s="314">
        <v>0</v>
      </c>
      <c r="H29" s="314">
        <v>0</v>
      </c>
      <c r="I29" s="314">
        <v>0</v>
      </c>
      <c r="J29" s="314">
        <v>0</v>
      </c>
      <c r="K29" s="320">
        <v>0</v>
      </c>
      <c r="L29" s="322"/>
    </row>
    <row r="30" spans="2:12">
      <c r="B30" s="530" t="str">
        <f t="shared" ref="B30:B36" si="3">B10</f>
        <v xml:space="preserve">Monitor DB2 - Not Selected  </v>
      </c>
      <c r="C30" s="531"/>
      <c r="D30" s="316">
        <v>0</v>
      </c>
      <c r="E30" s="309">
        <v>0</v>
      </c>
      <c r="F30" s="309">
        <f>IF(ISERROR(VLOOKUP(B30,MASData,3,FALSE)),0,VLOOKUP(B30,MASData,3,FALSE))</f>
        <v>0</v>
      </c>
      <c r="G30" s="309">
        <v>0</v>
      </c>
      <c r="H30" s="309">
        <v>0</v>
      </c>
      <c r="I30" s="309">
        <v>0</v>
      </c>
      <c r="J30" s="309">
        <v>0</v>
      </c>
      <c r="K30" s="321">
        <v>0</v>
      </c>
      <c r="L30" s="323"/>
    </row>
    <row r="31" spans="2:12">
      <c r="B31" s="530" t="str">
        <f t="shared" si="3"/>
        <v xml:space="preserve">Manage - (MIF, Rprt, Crontask) + Cognos  </v>
      </c>
      <c r="C31" s="531"/>
      <c r="D31" s="316">
        <f>'V8 Calculator'!N29</f>
        <v>0</v>
      </c>
      <c r="E31" s="309">
        <v>0</v>
      </c>
      <c r="F31" s="309">
        <v>0</v>
      </c>
      <c r="G31" s="309">
        <v>0</v>
      </c>
      <c r="H31" s="309">
        <v>0</v>
      </c>
      <c r="I31" s="309">
        <v>0</v>
      </c>
      <c r="J31" s="309">
        <v>0</v>
      </c>
      <c r="K31" s="321">
        <v>0</v>
      </c>
      <c r="L31" s="323"/>
    </row>
    <row r="32" spans="2:12">
      <c r="B32" s="530" t="str">
        <f t="shared" si="3"/>
        <v xml:space="preserve">Watson Studio - Not Selected  </v>
      </c>
      <c r="C32" s="531"/>
      <c r="D32" s="316">
        <v>0</v>
      </c>
      <c r="E32" s="309">
        <v>0</v>
      </c>
      <c r="F32" s="309">
        <v>0</v>
      </c>
      <c r="G32" s="309">
        <f>IF(OR(N12="Y",AND(N12="Y",N13="Y")),'V8 Calculator'!N30,0)</f>
        <v>0</v>
      </c>
      <c r="H32" s="309">
        <f>IF(N12="Y",0,'V8 Calculator'!N30)</f>
        <v>0</v>
      </c>
      <c r="I32" s="309">
        <v>0</v>
      </c>
      <c r="J32" s="309">
        <v>0</v>
      </c>
      <c r="K32" s="321">
        <v>0</v>
      </c>
      <c r="L32" s="323"/>
    </row>
    <row r="33" spans="2:12">
      <c r="B33" s="530" t="str">
        <f t="shared" si="3"/>
        <v xml:space="preserve">Watson ML - Not Selected  </v>
      </c>
      <c r="C33" s="531"/>
      <c r="D33" s="316">
        <v>0</v>
      </c>
      <c r="E33" s="309">
        <v>0</v>
      </c>
      <c r="F33" s="309">
        <v>0</v>
      </c>
      <c r="G33" s="309">
        <f>'V8 Calculator'!N31</f>
        <v>0</v>
      </c>
      <c r="H33" s="309">
        <v>0</v>
      </c>
      <c r="I33" s="309">
        <v>0</v>
      </c>
      <c r="J33" s="309">
        <v>0</v>
      </c>
      <c r="K33" s="321">
        <v>0</v>
      </c>
      <c r="L33" s="323"/>
    </row>
    <row r="34" spans="2:12">
      <c r="B34" s="530" t="str">
        <f t="shared" si="3"/>
        <v xml:space="preserve">Watson Discovery - Not Selected  </v>
      </c>
      <c r="C34" s="531"/>
      <c r="D34" s="316">
        <v>0</v>
      </c>
      <c r="E34" s="309">
        <v>0</v>
      </c>
      <c r="F34" s="309">
        <v>0</v>
      </c>
      <c r="G34" s="309">
        <v>0</v>
      </c>
      <c r="H34" s="309">
        <v>0</v>
      </c>
      <c r="I34" s="309">
        <v>0</v>
      </c>
      <c r="J34" s="309">
        <f>'V8 Calculator'!N32</f>
        <v>0</v>
      </c>
      <c r="K34" s="321">
        <v>0</v>
      </c>
      <c r="L34" s="323"/>
    </row>
    <row r="35" spans="2:12">
      <c r="B35" s="530" t="str">
        <f t="shared" si="3"/>
        <v xml:space="preserve">Kafka - Not Selected  </v>
      </c>
      <c r="C35" s="531"/>
      <c r="D35" s="316">
        <v>0</v>
      </c>
      <c r="E35" s="305">
        <v>0</v>
      </c>
      <c r="F35" s="305">
        <f>'V8 Calculator'!N33</f>
        <v>0</v>
      </c>
      <c r="G35" s="305">
        <v>0</v>
      </c>
      <c r="H35" s="305">
        <v>0</v>
      </c>
      <c r="I35" s="305">
        <v>0</v>
      </c>
      <c r="J35" s="305">
        <v>0</v>
      </c>
      <c r="K35" s="306">
        <v>0</v>
      </c>
      <c r="L35" s="324"/>
    </row>
    <row r="36" spans="2:12" ht="16.5" thickBot="1">
      <c r="B36" s="532" t="str">
        <f t="shared" si="3"/>
        <v xml:space="preserve">CouchDB - Not Selected  </v>
      </c>
      <c r="C36" s="533"/>
      <c r="D36" s="31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07">
        <f>IF(ISERROR(VLOOKUP(B36,MASData,3,FALSE)),0,VLOOKUP(B36,MASData,3,FALSE))</f>
        <v>0</v>
      </c>
      <c r="K36" s="308">
        <v>0</v>
      </c>
      <c r="L36" s="325"/>
    </row>
    <row r="37" spans="2:12" ht="16.5" thickBot="1">
      <c r="B37" s="546" t="s">
        <v>220</v>
      </c>
      <c r="C37" s="547"/>
      <c r="D37" s="547"/>
      <c r="E37" s="547"/>
      <c r="F37" s="547"/>
      <c r="G37" s="547"/>
      <c r="H37" s="547"/>
      <c r="I37" s="547"/>
      <c r="J37" s="547"/>
      <c r="K37" s="548"/>
      <c r="L37" s="319">
        <f>SUM(D29:K36)</f>
        <v>100</v>
      </c>
    </row>
    <row r="38" spans="2:12" ht="3" customHeight="1" thickBot="1">
      <c r="B38" s="196"/>
      <c r="C38" s="197"/>
      <c r="D38" s="318"/>
      <c r="E38" s="303"/>
      <c r="F38" s="303"/>
      <c r="G38" s="303"/>
      <c r="H38" s="303"/>
      <c r="I38" s="303"/>
      <c r="J38" s="303"/>
      <c r="K38" s="303"/>
      <c r="L38" s="304"/>
    </row>
    <row r="39" spans="2:12">
      <c r="B39" s="536" t="str">
        <f>B19</f>
        <v xml:space="preserve">MongoDB - Xsmall/Min  </v>
      </c>
      <c r="C39" s="552"/>
      <c r="D39" s="542">
        <f>'V8 Calculator'!N38</f>
        <v>0</v>
      </c>
      <c r="E39" s="543"/>
      <c r="F39" s="543"/>
      <c r="G39" s="543"/>
      <c r="H39" s="543"/>
      <c r="I39" s="543"/>
      <c r="J39" s="543"/>
      <c r="K39" s="543"/>
      <c r="L39" s="554"/>
    </row>
    <row r="40" spans="2:12">
      <c r="B40" s="530" t="str">
        <f t="shared" ref="B40:B42" si="4">B20</f>
        <v xml:space="preserve">MAS Core  </v>
      </c>
      <c r="C40" s="553"/>
      <c r="D40" s="544">
        <f>'V8 Calculator'!N39</f>
        <v>2</v>
      </c>
      <c r="E40" s="545"/>
      <c r="F40" s="545"/>
      <c r="G40" s="545"/>
      <c r="H40" s="545"/>
      <c r="I40" s="545"/>
      <c r="J40" s="545"/>
      <c r="K40" s="545"/>
      <c r="L40" s="555"/>
    </row>
    <row r="41" spans="2:12">
      <c r="B41" s="530" t="str">
        <f t="shared" si="4"/>
        <v xml:space="preserve">OpenShift Worker Nodes  </v>
      </c>
      <c r="C41" s="553"/>
      <c r="D41" s="544">
        <f>'V8 Calculator'!N40</f>
        <v>15.5</v>
      </c>
      <c r="E41" s="545"/>
      <c r="F41" s="545"/>
      <c r="G41" s="545"/>
      <c r="H41" s="545"/>
      <c r="I41" s="545"/>
      <c r="J41" s="545"/>
      <c r="K41" s="545"/>
      <c r="L41" s="555"/>
    </row>
    <row r="42" spans="2:12" ht="16.5" thickBot="1">
      <c r="B42" s="532" t="str">
        <f t="shared" si="4"/>
        <v xml:space="preserve">CP4D Base  </v>
      </c>
      <c r="C42" s="538"/>
      <c r="D42" s="557">
        <f>'V8 Calculator'!N41</f>
        <v>10</v>
      </c>
      <c r="E42" s="558"/>
      <c r="F42" s="558"/>
      <c r="G42" s="558"/>
      <c r="H42" s="558"/>
      <c r="I42" s="558"/>
      <c r="J42" s="558"/>
      <c r="K42" s="558"/>
      <c r="L42" s="556"/>
    </row>
    <row r="43" spans="2:12" ht="16.5" thickBot="1">
      <c r="B43" s="539" t="s">
        <v>221</v>
      </c>
      <c r="C43" s="540"/>
      <c r="D43" s="540"/>
      <c r="E43" s="540"/>
      <c r="F43" s="540"/>
      <c r="G43" s="540"/>
      <c r="H43" s="540"/>
      <c r="I43" s="540"/>
      <c r="J43" s="540"/>
      <c r="K43" s="541"/>
      <c r="L43" s="326">
        <f>SUM(D39:K42)</f>
        <v>27.5</v>
      </c>
    </row>
    <row r="44" spans="2:12" ht="16.149999999999999" customHeight="1" thickBot="1">
      <c r="B44" s="549" t="s">
        <v>216</v>
      </c>
      <c r="C44" s="550"/>
      <c r="D44" s="550"/>
      <c r="E44" s="550"/>
      <c r="F44" s="550"/>
      <c r="G44" s="550"/>
      <c r="H44" s="550"/>
      <c r="I44" s="550"/>
      <c r="J44" s="550"/>
      <c r="K44" s="551"/>
      <c r="L44" s="327">
        <f>L43+L37+L27</f>
        <v>137.5</v>
      </c>
    </row>
    <row r="45" spans="2:12" ht="28.15" customHeight="1" thickBot="1">
      <c r="B45" s="328"/>
      <c r="C45" s="329"/>
      <c r="D45" s="329"/>
      <c r="E45" s="329"/>
      <c r="F45" s="329"/>
      <c r="G45" s="329"/>
      <c r="H45" s="329"/>
      <c r="I45" s="329"/>
      <c r="J45" s="329"/>
      <c r="K45" s="329"/>
      <c r="L45" s="330"/>
    </row>
    <row r="46" spans="2:12" ht="19.5" thickBot="1">
      <c r="B46" s="534" t="s">
        <v>217</v>
      </c>
      <c r="C46" s="535"/>
      <c r="D46" s="103" t="str">
        <f>D26</f>
        <v>Manage</v>
      </c>
      <c r="E46" s="103" t="str">
        <f t="shared" ref="E46:K46" si="5">E26</f>
        <v>Health</v>
      </c>
      <c r="F46" s="103" t="str">
        <f t="shared" si="5"/>
        <v>Monitor</v>
      </c>
      <c r="G46" s="103" t="str">
        <f t="shared" si="5"/>
        <v>Predict</v>
      </c>
      <c r="H46" s="103" t="str">
        <f t="shared" si="5"/>
        <v>H &amp; P - Utilities</v>
      </c>
      <c r="I46" s="103" t="str">
        <f t="shared" si="5"/>
        <v>Visual Inspection</v>
      </c>
      <c r="J46" s="103" t="str">
        <f t="shared" si="5"/>
        <v>Assist</v>
      </c>
      <c r="K46" s="103" t="str">
        <f t="shared" si="5"/>
        <v>Optimizer</v>
      </c>
      <c r="L46" s="11" t="s">
        <v>71</v>
      </c>
    </row>
    <row r="47" spans="2:12" ht="16.5" thickBot="1">
      <c r="B47" s="528" t="s">
        <v>218</v>
      </c>
      <c r="C47" s="529"/>
      <c r="D47" s="301">
        <f t="shared" ref="D47:K47" si="6">IF(ISERROR(VLOOKUP(D5,MASData,4,FALSE)),0,VLOOKUP(D5,MASData,4,FALSE))</f>
        <v>0</v>
      </c>
      <c r="E47" s="301">
        <f t="shared" si="6"/>
        <v>0</v>
      </c>
      <c r="F47" s="301">
        <f t="shared" si="6"/>
        <v>0</v>
      </c>
      <c r="G47" s="301">
        <f t="shared" si="6"/>
        <v>0</v>
      </c>
      <c r="H47" s="301">
        <f t="shared" si="6"/>
        <v>0</v>
      </c>
      <c r="I47" s="301">
        <f t="shared" si="6"/>
        <v>0</v>
      </c>
      <c r="J47" s="301">
        <f t="shared" si="6"/>
        <v>0</v>
      </c>
      <c r="K47" s="301">
        <f t="shared" si="6"/>
        <v>0</v>
      </c>
      <c r="L47" s="327">
        <f>SUM(D47:K47)</f>
        <v>0</v>
      </c>
    </row>
    <row r="48" spans="2:12" ht="3" customHeight="1" thickBot="1">
      <c r="B48" s="312"/>
      <c r="C48" s="313"/>
      <c r="D48" s="310"/>
      <c r="E48" s="310"/>
      <c r="F48" s="310"/>
      <c r="G48" s="310"/>
      <c r="H48" s="310"/>
      <c r="I48" s="310"/>
      <c r="J48" s="310"/>
      <c r="K48" s="310"/>
      <c r="L48" s="311"/>
    </row>
    <row r="49" spans="2:12" ht="16.149999999999999" customHeight="1">
      <c r="B49" s="536" t="str">
        <f>B29</f>
        <v xml:space="preserve">Manage/Health DB2 - Xsmall/Min  </v>
      </c>
      <c r="C49" s="537"/>
      <c r="D49" s="315">
        <f>IF(N9="Y",'V8 Calculator'!P27,0)</f>
        <v>259.5</v>
      </c>
      <c r="E49" s="314">
        <f>IF(AND(N10="Y",N9="N"),'V8 Calculator'!P27,0)</f>
        <v>0</v>
      </c>
      <c r="F49" s="314">
        <v>0</v>
      </c>
      <c r="G49" s="314">
        <v>0</v>
      </c>
      <c r="H49" s="314">
        <v>0</v>
      </c>
      <c r="I49" s="314">
        <v>0</v>
      </c>
      <c r="J49" s="314">
        <v>0</v>
      </c>
      <c r="K49" s="320">
        <v>0</v>
      </c>
      <c r="L49" s="322"/>
    </row>
    <row r="50" spans="2:12">
      <c r="B50" s="530" t="str">
        <f t="shared" ref="B50:B56" si="7">B30</f>
        <v xml:space="preserve">Monitor DB2 - Not Selected  </v>
      </c>
      <c r="C50" s="531"/>
      <c r="D50" s="316">
        <v>0</v>
      </c>
      <c r="E50" s="309">
        <v>0</v>
      </c>
      <c r="F50" s="309">
        <f>'V8 Calculator'!P28</f>
        <v>0</v>
      </c>
      <c r="G50" s="309">
        <v>0</v>
      </c>
      <c r="H50" s="309">
        <v>0</v>
      </c>
      <c r="I50" s="309">
        <v>0</v>
      </c>
      <c r="J50" s="309">
        <v>0</v>
      </c>
      <c r="K50" s="321">
        <v>0</v>
      </c>
      <c r="L50" s="323"/>
    </row>
    <row r="51" spans="2:12" ht="16.149999999999999" customHeight="1">
      <c r="B51" s="530" t="str">
        <f t="shared" si="7"/>
        <v xml:space="preserve">Manage - (MIF, Rprt, Crontask) + Cognos  </v>
      </c>
      <c r="C51" s="531"/>
      <c r="D51" s="316">
        <f>'V8 Calculator'!O29</f>
        <v>0</v>
      </c>
      <c r="E51" s="309">
        <v>0</v>
      </c>
      <c r="F51" s="309">
        <v>0</v>
      </c>
      <c r="G51" s="309">
        <v>0</v>
      </c>
      <c r="H51" s="309">
        <v>0</v>
      </c>
      <c r="I51" s="309">
        <v>0</v>
      </c>
      <c r="J51" s="309">
        <v>0</v>
      </c>
      <c r="K51" s="321">
        <v>0</v>
      </c>
      <c r="L51" s="323"/>
    </row>
    <row r="52" spans="2:12">
      <c r="B52" s="530" t="str">
        <f t="shared" si="7"/>
        <v xml:space="preserve">Watson Studio - Not Selected  </v>
      </c>
      <c r="C52" s="531"/>
      <c r="D52" s="316">
        <v>0</v>
      </c>
      <c r="E52" s="309">
        <v>0</v>
      </c>
      <c r="F52" s="309">
        <v>0</v>
      </c>
      <c r="G52" s="309">
        <f>IF(OR(N12="Y",AND(N12="Y",N13="Y")),'V8 Calculator'!O30,0)</f>
        <v>0</v>
      </c>
      <c r="H52" s="309">
        <f>IF(N12="Y",0,'V8 Calculator'!O30)</f>
        <v>0</v>
      </c>
      <c r="I52" s="309">
        <v>0</v>
      </c>
      <c r="J52" s="309">
        <v>0</v>
      </c>
      <c r="K52" s="321">
        <v>0</v>
      </c>
      <c r="L52" s="323"/>
    </row>
    <row r="53" spans="2:12">
      <c r="B53" s="530" t="str">
        <f t="shared" si="7"/>
        <v xml:space="preserve">Watson ML - Not Selected  </v>
      </c>
      <c r="C53" s="531"/>
      <c r="D53" s="316">
        <v>0</v>
      </c>
      <c r="E53" s="309">
        <v>0</v>
      </c>
      <c r="F53" s="309">
        <v>0</v>
      </c>
      <c r="G53" s="309">
        <f>'V8 Calculator'!O31</f>
        <v>0</v>
      </c>
      <c r="H53" s="309">
        <v>0</v>
      </c>
      <c r="I53" s="309">
        <v>0</v>
      </c>
      <c r="J53" s="309">
        <v>0</v>
      </c>
      <c r="K53" s="321">
        <v>0</v>
      </c>
      <c r="L53" s="323"/>
    </row>
    <row r="54" spans="2:12">
      <c r="B54" s="530" t="str">
        <f t="shared" si="7"/>
        <v xml:space="preserve">Watson Discovery - Not Selected  </v>
      </c>
      <c r="C54" s="531"/>
      <c r="D54" s="316">
        <v>0</v>
      </c>
      <c r="E54" s="309">
        <v>0</v>
      </c>
      <c r="F54" s="309">
        <v>0</v>
      </c>
      <c r="G54" s="309">
        <v>0</v>
      </c>
      <c r="H54" s="309">
        <v>0</v>
      </c>
      <c r="I54" s="309">
        <v>0</v>
      </c>
      <c r="J54" s="309">
        <f>'V8 Calculator'!O32</f>
        <v>0</v>
      </c>
      <c r="K54" s="321">
        <v>0</v>
      </c>
      <c r="L54" s="323"/>
    </row>
    <row r="55" spans="2:12">
      <c r="B55" s="530" t="str">
        <f t="shared" si="7"/>
        <v xml:space="preserve">Kafka - Not Selected  </v>
      </c>
      <c r="C55" s="531"/>
      <c r="D55" s="316">
        <v>0</v>
      </c>
      <c r="E55" s="305">
        <v>0</v>
      </c>
      <c r="F55" s="305">
        <v>0</v>
      </c>
      <c r="G55" s="305">
        <v>0</v>
      </c>
      <c r="H55" s="305">
        <v>0</v>
      </c>
      <c r="I55" s="305">
        <v>0</v>
      </c>
      <c r="J55" s="305">
        <v>0</v>
      </c>
      <c r="K55" s="306">
        <v>0</v>
      </c>
      <c r="L55" s="324"/>
    </row>
    <row r="56" spans="2:12" ht="16.5" thickBot="1">
      <c r="B56" s="532" t="str">
        <f t="shared" si="7"/>
        <v xml:space="preserve">CouchDB - Not Selected  </v>
      </c>
      <c r="C56" s="533"/>
      <c r="D56" s="317">
        <v>0</v>
      </c>
      <c r="E56" s="307">
        <v>0</v>
      </c>
      <c r="F56" s="307">
        <v>0</v>
      </c>
      <c r="G56" s="307">
        <v>0</v>
      </c>
      <c r="H56" s="307">
        <v>0</v>
      </c>
      <c r="I56" s="307">
        <v>0</v>
      </c>
      <c r="J56" s="307">
        <f>'V8 Calculator'!O34</f>
        <v>0</v>
      </c>
      <c r="K56" s="308">
        <v>0</v>
      </c>
      <c r="L56" s="325"/>
    </row>
    <row r="57" spans="2:12" ht="16.5" thickBot="1">
      <c r="B57" s="546" t="s">
        <v>223</v>
      </c>
      <c r="C57" s="547"/>
      <c r="D57" s="547"/>
      <c r="E57" s="547"/>
      <c r="F57" s="547"/>
      <c r="G57" s="547"/>
      <c r="H57" s="547"/>
      <c r="I57" s="547"/>
      <c r="J57" s="547"/>
      <c r="K57" s="548"/>
      <c r="L57" s="319">
        <f>SUM(D51:K56)</f>
        <v>0</v>
      </c>
    </row>
    <row r="58" spans="2:12" ht="16.5" thickBot="1">
      <c r="B58" s="565" t="s">
        <v>225</v>
      </c>
      <c r="C58" s="566"/>
      <c r="D58" s="566"/>
      <c r="E58" s="566"/>
      <c r="F58" s="566"/>
      <c r="G58" s="566"/>
      <c r="H58" s="566"/>
      <c r="I58" s="566"/>
      <c r="J58" s="566"/>
      <c r="K58" s="567"/>
      <c r="L58" s="413">
        <f>SUM(D49:K50)</f>
        <v>259.5</v>
      </c>
    </row>
    <row r="59" spans="2:12" ht="3" customHeight="1" thickBot="1">
      <c r="B59" s="196"/>
      <c r="C59" s="197"/>
      <c r="D59" s="318"/>
      <c r="E59" s="303"/>
      <c r="F59" s="303"/>
      <c r="G59" s="303"/>
      <c r="H59" s="303"/>
      <c r="I59" s="303"/>
      <c r="J59" s="303"/>
      <c r="K59" s="303"/>
      <c r="L59" s="304"/>
    </row>
    <row r="60" spans="2:12">
      <c r="B60" s="536" t="str">
        <f>B39</f>
        <v xml:space="preserve">MongoDB - Xsmall/Min  </v>
      </c>
      <c r="C60" s="552"/>
      <c r="D60" s="542">
        <f>'V8 Calculator'!O38</f>
        <v>20</v>
      </c>
      <c r="E60" s="543"/>
      <c r="F60" s="543"/>
      <c r="G60" s="543"/>
      <c r="H60" s="543"/>
      <c r="I60" s="543"/>
      <c r="J60" s="543"/>
      <c r="K60" s="543"/>
      <c r="L60" s="554"/>
    </row>
    <row r="61" spans="2:12">
      <c r="B61" s="530" t="str">
        <f t="shared" ref="B61:B63" si="8">B40</f>
        <v xml:space="preserve">MAS Core  </v>
      </c>
      <c r="C61" s="553"/>
      <c r="D61" s="544">
        <f>'V8 Calculator'!O39</f>
        <v>20</v>
      </c>
      <c r="E61" s="545"/>
      <c r="F61" s="545"/>
      <c r="G61" s="545"/>
      <c r="H61" s="545"/>
      <c r="I61" s="545"/>
      <c r="J61" s="545"/>
      <c r="K61" s="545"/>
      <c r="L61" s="555"/>
    </row>
    <row r="62" spans="2:12">
      <c r="B62" s="530" t="str">
        <f t="shared" si="8"/>
        <v xml:space="preserve">OpenShift Worker Nodes  </v>
      </c>
      <c r="C62" s="553"/>
      <c r="D62" s="544">
        <f>'V8 Calculator'!O40</f>
        <v>240</v>
      </c>
      <c r="E62" s="545"/>
      <c r="F62" s="545"/>
      <c r="G62" s="545"/>
      <c r="H62" s="545"/>
      <c r="I62" s="545"/>
      <c r="J62" s="545"/>
      <c r="K62" s="545"/>
      <c r="L62" s="555"/>
    </row>
    <row r="63" spans="2:12" ht="16.5" thickBot="1">
      <c r="B63" s="532" t="str">
        <f t="shared" si="8"/>
        <v xml:space="preserve">CP4D Base  </v>
      </c>
      <c r="C63" s="538"/>
      <c r="D63" s="557">
        <f>'V8 Calculator'!O41</f>
        <v>655</v>
      </c>
      <c r="E63" s="558"/>
      <c r="F63" s="558"/>
      <c r="G63" s="558"/>
      <c r="H63" s="558"/>
      <c r="I63" s="558"/>
      <c r="J63" s="558"/>
      <c r="K63" s="558"/>
      <c r="L63" s="556"/>
    </row>
    <row r="64" spans="2:12" ht="16.5" thickBot="1">
      <c r="B64" s="539" t="s">
        <v>224</v>
      </c>
      <c r="C64" s="540"/>
      <c r="D64" s="540"/>
      <c r="E64" s="540"/>
      <c r="F64" s="540"/>
      <c r="G64" s="540"/>
      <c r="H64" s="540"/>
      <c r="I64" s="540"/>
      <c r="J64" s="540"/>
      <c r="K64" s="541"/>
      <c r="L64" s="414">
        <f>SUM(D60:K63)</f>
        <v>935</v>
      </c>
    </row>
    <row r="65" spans="2:12" ht="28.15" customHeight="1" thickBot="1">
      <c r="B65" s="331"/>
      <c r="C65" s="332"/>
      <c r="D65" s="332"/>
      <c r="E65" s="332"/>
      <c r="F65" s="332"/>
      <c r="G65" s="332"/>
      <c r="H65" s="332"/>
      <c r="I65" s="332"/>
      <c r="J65" s="332"/>
      <c r="K65" s="333"/>
      <c r="L65" s="334"/>
    </row>
    <row r="66" spans="2:12" ht="16.5" thickBot="1">
      <c r="B66" s="549" t="s">
        <v>227</v>
      </c>
      <c r="C66" s="550"/>
      <c r="D66" s="550"/>
      <c r="E66" s="550"/>
      <c r="F66" s="550"/>
      <c r="G66" s="550"/>
      <c r="H66" s="550"/>
      <c r="I66" s="550"/>
      <c r="J66" s="550"/>
      <c r="K66" s="551"/>
      <c r="L66" s="327">
        <f>L64+L57+L47</f>
        <v>935</v>
      </c>
    </row>
    <row r="67" spans="2:12" ht="16.5" thickBot="1">
      <c r="B67" s="549" t="s">
        <v>226</v>
      </c>
      <c r="C67" s="550"/>
      <c r="D67" s="550"/>
      <c r="E67" s="550"/>
      <c r="F67" s="550"/>
      <c r="G67" s="550"/>
      <c r="H67" s="550"/>
      <c r="I67" s="550"/>
      <c r="J67" s="550"/>
      <c r="K67" s="551"/>
      <c r="L67" s="327">
        <f>L58</f>
        <v>259.5</v>
      </c>
    </row>
    <row r="68" spans="2:12" ht="16.5" thickBot="1"/>
    <row r="69" spans="2:12" ht="19.5" thickBot="1">
      <c r="B69" s="534" t="s">
        <v>14</v>
      </c>
      <c r="C69" s="535"/>
      <c r="D69" s="103" t="str">
        <f>D46</f>
        <v>Manage</v>
      </c>
      <c r="E69" s="103" t="str">
        <f t="shared" ref="E69:K69" si="9">E46</f>
        <v>Health</v>
      </c>
      <c r="F69" s="103" t="str">
        <f t="shared" si="9"/>
        <v>Monitor</v>
      </c>
      <c r="G69" s="103" t="str">
        <f t="shared" si="9"/>
        <v>Predict</v>
      </c>
      <c r="H69" s="103" t="str">
        <f t="shared" si="9"/>
        <v>H &amp; P - Utilities</v>
      </c>
      <c r="I69" s="103" t="str">
        <f t="shared" si="9"/>
        <v>Visual Inspection</v>
      </c>
      <c r="J69" s="103" t="str">
        <f t="shared" si="9"/>
        <v>Assist</v>
      </c>
      <c r="K69" s="103" t="str">
        <f t="shared" si="9"/>
        <v>Optimizer</v>
      </c>
      <c r="L69" s="11" t="s">
        <v>71</v>
      </c>
    </row>
    <row r="70" spans="2:12" ht="16.5" thickBot="1">
      <c r="B70" s="528" t="s">
        <v>228</v>
      </c>
      <c r="C70" s="529"/>
      <c r="D70" s="301">
        <f t="shared" ref="D70:K70" si="10">IF(ISERROR(VLOOKUP(D5,MASData,6,FALSE)),0,VLOOKUP(D5,MASData,6,FALSE))</f>
        <v>0</v>
      </c>
      <c r="E70" s="301">
        <f t="shared" si="10"/>
        <v>0</v>
      </c>
      <c r="F70" s="301">
        <f t="shared" si="10"/>
        <v>0</v>
      </c>
      <c r="G70" s="301">
        <f t="shared" si="10"/>
        <v>0</v>
      </c>
      <c r="H70" s="301">
        <f t="shared" si="10"/>
        <v>0</v>
      </c>
      <c r="I70" s="301">
        <f t="shared" si="10"/>
        <v>0</v>
      </c>
      <c r="J70" s="301">
        <f t="shared" si="10"/>
        <v>0</v>
      </c>
      <c r="K70" s="301">
        <f t="shared" si="10"/>
        <v>0</v>
      </c>
      <c r="L70" s="327">
        <f>SUM(D70:K70)</f>
        <v>0</v>
      </c>
    </row>
    <row r="71" spans="2:12" ht="3" customHeight="1">
      <c r="B71" s="312"/>
      <c r="C71" s="313"/>
      <c r="D71" s="310"/>
      <c r="E71" s="310"/>
      <c r="F71" s="310"/>
      <c r="G71" s="310"/>
      <c r="H71" s="310"/>
      <c r="I71" s="310"/>
      <c r="J71" s="310"/>
      <c r="K71" s="310"/>
      <c r="L71" s="311"/>
    </row>
    <row r="72" spans="2:12" ht="16.5" thickBot="1"/>
    <row r="73" spans="2:12" ht="18.75" customHeight="1">
      <c r="B73" s="559" t="s">
        <v>229</v>
      </c>
      <c r="C73" s="560"/>
      <c r="D73" s="66" t="s">
        <v>72</v>
      </c>
      <c r="E73" s="66" t="s">
        <v>192</v>
      </c>
      <c r="F73" s="65" t="s">
        <v>192</v>
      </c>
    </row>
    <row r="74" spans="2:12" ht="16.5" thickBot="1">
      <c r="B74" s="561"/>
      <c r="C74" s="562"/>
      <c r="D74" s="67" t="s">
        <v>188</v>
      </c>
      <c r="E74" s="67" t="s">
        <v>13</v>
      </c>
      <c r="F74" s="68" t="s">
        <v>17</v>
      </c>
    </row>
    <row r="75" spans="2:12" ht="16.5" thickBot="1">
      <c r="B75" s="563"/>
      <c r="C75" s="564"/>
      <c r="D75" s="82">
        <f>IF('V8 Calculator'!$F$6="Y"," ",'Data Source'!B135*'V8 Calculator'!N57)</f>
        <v>4</v>
      </c>
      <c r="E75" s="83">
        <f>IF('V8 Calculator'!$F$6="Y"," ",'Data Source'!C135*'V8 Calculator'!N57)</f>
        <v>16</v>
      </c>
      <c r="F75" s="84">
        <f>IF('V8 Calculator'!$F$6="Y"," ",'Data Source'!D135*'V8 Calculator'!N57)</f>
        <v>120</v>
      </c>
    </row>
  </sheetData>
  <sheetProtection algorithmName="SHA-512" hashValue="9lp4PsP/XYw4eAYqQIW7gWtOYqc5YfH8bNSs1N5t+gqg6ZPUuPfpc39cYOsKNy/9mUKtiD8x6nqixaSNFHDu8g==" saltValue="prz7rEiROPFlFFfld7Fi9w==" spinCount="100000" sheet="1" objects="1" scenarios="1"/>
  <mergeCells count="72">
    <mergeCell ref="B70:C70"/>
    <mergeCell ref="B73:C75"/>
    <mergeCell ref="B64:K64"/>
    <mergeCell ref="B66:K66"/>
    <mergeCell ref="B58:K58"/>
    <mergeCell ref="B67:K67"/>
    <mergeCell ref="B69:C69"/>
    <mergeCell ref="B60:C60"/>
    <mergeCell ref="D60:K60"/>
    <mergeCell ref="L60:L63"/>
    <mergeCell ref="B61:C61"/>
    <mergeCell ref="D61:K61"/>
    <mergeCell ref="B62:C62"/>
    <mergeCell ref="D62:K62"/>
    <mergeCell ref="B63:C63"/>
    <mergeCell ref="D63:K63"/>
    <mergeCell ref="B51:C51"/>
    <mergeCell ref="B52:C52"/>
    <mergeCell ref="B53:C53"/>
    <mergeCell ref="B56:C56"/>
    <mergeCell ref="B57:K57"/>
    <mergeCell ref="B54:C54"/>
    <mergeCell ref="B55:C55"/>
    <mergeCell ref="L19:L22"/>
    <mergeCell ref="L39:L42"/>
    <mergeCell ref="B44:K44"/>
    <mergeCell ref="B46:C46"/>
    <mergeCell ref="B50:C50"/>
    <mergeCell ref="D42:K42"/>
    <mergeCell ref="D19:K19"/>
    <mergeCell ref="D20:K20"/>
    <mergeCell ref="D21:K21"/>
    <mergeCell ref="D22:K22"/>
    <mergeCell ref="B22:C22"/>
    <mergeCell ref="B47:C47"/>
    <mergeCell ref="B49:C49"/>
    <mergeCell ref="B39:C39"/>
    <mergeCell ref="B40:C40"/>
    <mergeCell ref="B41:C41"/>
    <mergeCell ref="B17:K17"/>
    <mergeCell ref="B23:K23"/>
    <mergeCell ref="B36:C36"/>
    <mergeCell ref="B37:K37"/>
    <mergeCell ref="B24:K24"/>
    <mergeCell ref="B19:C19"/>
    <mergeCell ref="B20:C20"/>
    <mergeCell ref="B21:C21"/>
    <mergeCell ref="B35:C35"/>
    <mergeCell ref="B30:C30"/>
    <mergeCell ref="B31:C31"/>
    <mergeCell ref="B32:C32"/>
    <mergeCell ref="B33:C33"/>
    <mergeCell ref="B34:C34"/>
    <mergeCell ref="B26:C26"/>
    <mergeCell ref="B27:C27"/>
    <mergeCell ref="B29:C29"/>
    <mergeCell ref="B42:C42"/>
    <mergeCell ref="B43:K43"/>
    <mergeCell ref="D39:K39"/>
    <mergeCell ref="D40:K40"/>
    <mergeCell ref="D41:K41"/>
    <mergeCell ref="B2:L3"/>
    <mergeCell ref="B7:C7"/>
    <mergeCell ref="B10:C10"/>
    <mergeCell ref="B11:C11"/>
    <mergeCell ref="B16:C16"/>
    <mergeCell ref="B15:C15"/>
    <mergeCell ref="B6:C6"/>
    <mergeCell ref="B12:C12"/>
    <mergeCell ref="B13:C13"/>
    <mergeCell ref="B14:C14"/>
    <mergeCell ref="B9:C9"/>
  </mergeCells>
  <conditionalFormatting sqref="D49">
    <cfRule type="expression" dxfId="37" priority="4">
      <formula>$D$49&gt;0</formula>
    </cfRule>
  </conditionalFormatting>
  <conditionalFormatting sqref="D75:F75">
    <cfRule type="cellIs" dxfId="36" priority="6" operator="equal">
      <formula>" "</formula>
    </cfRule>
  </conditionalFormatting>
  <conditionalFormatting sqref="E49">
    <cfRule type="expression" dxfId="35" priority="3">
      <formula>$E$49&gt;0</formula>
    </cfRule>
  </conditionalFormatting>
  <conditionalFormatting sqref="F50">
    <cfRule type="expression" dxfId="34" priority="5">
      <formula>$F$50&gt;0</formula>
    </cfRule>
  </conditionalFormatting>
  <conditionalFormatting sqref="J54">
    <cfRule type="expression" dxfId="33" priority="2">
      <formula>$J$54&gt;0</formula>
    </cfRule>
  </conditionalFormatting>
  <conditionalFormatting sqref="J56">
    <cfRule type="expression" dxfId="32" priority="1">
      <formula>$J$56&gt;0</formula>
    </cfRule>
  </conditionalFormatting>
  <pageMargins left="0" right="0" top="0.5" bottom="0.5" header="0.3" footer="0.3"/>
  <pageSetup scale="67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DFFE-BB92-4AFA-A2E1-7E112F71B89C}">
  <dimension ref="B1:H38"/>
  <sheetViews>
    <sheetView showGridLines="0" showRowColHeaders="0" topLeftCell="A6" workbookViewId="0">
      <selection activeCell="E23" sqref="E23"/>
    </sheetView>
  </sheetViews>
  <sheetFormatPr defaultColWidth="8.75" defaultRowHeight="15.75"/>
  <cols>
    <col min="2" max="2" width="37.25" customWidth="1"/>
    <col min="3" max="3" width="9.75" customWidth="1"/>
    <col min="4" max="4" width="13.25" customWidth="1"/>
    <col min="5" max="5" width="16.5" customWidth="1"/>
    <col min="6" max="6" width="15.75" customWidth="1"/>
    <col min="8" max="8" width="9" hidden="1" customWidth="1"/>
  </cols>
  <sheetData>
    <row r="1" spans="2:8">
      <c r="B1" s="568" t="s">
        <v>263</v>
      </c>
      <c r="C1" s="569"/>
      <c r="D1" s="569"/>
      <c r="E1" s="569"/>
      <c r="F1" s="569"/>
      <c r="G1" s="570"/>
    </row>
    <row r="2" spans="2:8" ht="16.5" thickBot="1">
      <c r="B2" s="571"/>
      <c r="C2" s="572"/>
      <c r="D2" s="572"/>
      <c r="E2" s="572"/>
      <c r="F2" s="572"/>
      <c r="G2" s="573"/>
    </row>
    <row r="3" spans="2:8" ht="16.5" thickBot="1"/>
    <row r="4" spans="2:8" ht="16.5" thickBot="1">
      <c r="B4" s="91" t="s">
        <v>163</v>
      </c>
      <c r="C4" s="91">
        <f>'V8 Calculator'!F11</f>
        <v>1</v>
      </c>
    </row>
    <row r="5" spans="2:8" ht="16.5" thickBot="1"/>
    <row r="6" spans="2:8" ht="16.5" thickBot="1">
      <c r="B6" s="192" t="s">
        <v>134</v>
      </c>
      <c r="C6" s="11" t="s">
        <v>186</v>
      </c>
      <c r="D6" s="11" t="s">
        <v>189</v>
      </c>
      <c r="E6" s="11" t="s">
        <v>190</v>
      </c>
      <c r="F6" s="12" t="s">
        <v>14</v>
      </c>
    </row>
    <row r="7" spans="2:8">
      <c r="B7" s="235" t="str">
        <f>IF(H7="Y","Manage - Dev  ",'V8 Calculator'!L16)</f>
        <v xml:space="preserve">Manage - Dev  </v>
      </c>
      <c r="C7" s="400">
        <f>IF(ISERROR(VLOOKUP(B7,MASData,2,FALSE)),0,VLOOKUP(B7,MASData,2,FALSE))</f>
        <v>2</v>
      </c>
      <c r="D7" s="401">
        <f>IF(ISERROR(VLOOKUP(B7,MASData,3,FALSE)),0,VLOOKUP(B7,MASData,3,FALSE))</f>
        <v>10</v>
      </c>
      <c r="E7" s="401">
        <f>IF(ISERROR(VLOOKUP(B7,MASData,4,FALSE)),0,VLOOKUP(B7,MASData,4,FALSE))</f>
        <v>0</v>
      </c>
      <c r="F7" s="249"/>
      <c r="H7" t="str">
        <f>'V8 Calculator'!F16</f>
        <v>Y</v>
      </c>
    </row>
    <row r="8" spans="2:8">
      <c r="B8" s="188" t="str">
        <f>IF(H8="Y","Health - Dev  ",'V8 Calculator'!L17)</f>
        <v xml:space="preserve">Health - Not Selected  </v>
      </c>
      <c r="C8" s="402">
        <f>IF(H7="N",IF(ISERROR(VLOOKUP(B8,MASData,2,FALSE)),0,VLOOKUP(B8,MASData,2,FALSE)),0)</f>
        <v>0</v>
      </c>
      <c r="D8" s="265">
        <f>IF(H7="N",IF(ISERROR(VLOOKUP(B8,MASData,3,FALSE)),0,VLOOKUP(B8,MASData,3,FALSE)),0)</f>
        <v>0</v>
      </c>
      <c r="E8" s="265">
        <f>IF(H7="N",IF(ISERROR(VLOOKUP(B8,MASData,4,FALSE)),0,VLOOKUP(B8,MASData,4,FALSE)),0)</f>
        <v>0</v>
      </c>
      <c r="F8" s="250"/>
      <c r="H8" t="str">
        <f>'V8 Calculator'!F17</f>
        <v>N</v>
      </c>
    </row>
    <row r="9" spans="2:8">
      <c r="B9" s="188" t="str">
        <f>IF(H9="Y","Monitor - Dev  ",'V8 Calculator'!L18)</f>
        <v xml:space="preserve">Monitor - Not Selected  </v>
      </c>
      <c r="C9" s="402">
        <f t="shared" ref="C9:C14" si="0">IF(ISERROR(VLOOKUP(B9,MASData,2,FALSE)),0,VLOOKUP(B9,MASData,2,FALSE))</f>
        <v>0</v>
      </c>
      <c r="D9" s="265">
        <f t="shared" ref="D9:D14" si="1">IF(ISERROR(VLOOKUP(B9,MASData,3,FALSE)),0,VLOOKUP(B9,MASData,3,FALSE))</f>
        <v>0</v>
      </c>
      <c r="E9" s="265">
        <f t="shared" ref="E9:E14" si="2">IF(ISERROR(VLOOKUP(B9,MASData,4,FALSE)),0,VLOOKUP(B9,MASData,4,FALSE))</f>
        <v>0</v>
      </c>
      <c r="F9" s="250"/>
      <c r="H9" t="str">
        <f>'V8 Calculator'!F18</f>
        <v>N</v>
      </c>
    </row>
    <row r="10" spans="2:8">
      <c r="B10" s="188" t="str">
        <f>IF(H10="Y","Predict - Dev  ",'V8 Calculator'!L19)</f>
        <v xml:space="preserve">Predict - Not Selected  </v>
      </c>
      <c r="C10" s="402">
        <f t="shared" si="0"/>
        <v>0</v>
      </c>
      <c r="D10" s="265">
        <f t="shared" si="1"/>
        <v>0</v>
      </c>
      <c r="E10" s="265">
        <f t="shared" si="2"/>
        <v>0</v>
      </c>
      <c r="F10" s="250"/>
      <c r="H10" t="str">
        <f>'V8 Calculator'!F19</f>
        <v>N</v>
      </c>
    </row>
    <row r="11" spans="2:8">
      <c r="B11" s="188" t="str">
        <f>IF(H11="Y","H &amp; P - Utilities - Dev  ",'V8 Calculator'!L20)</f>
        <v xml:space="preserve">H &amp; P - Utilities - Not Selected  </v>
      </c>
      <c r="C11" s="402">
        <f t="shared" si="0"/>
        <v>0</v>
      </c>
      <c r="D11" s="265">
        <f t="shared" si="1"/>
        <v>0</v>
      </c>
      <c r="E11" s="265">
        <f t="shared" si="2"/>
        <v>0</v>
      </c>
      <c r="F11" s="251"/>
      <c r="H11" t="str">
        <f>'V8 Calculator'!F20</f>
        <v>N</v>
      </c>
    </row>
    <row r="12" spans="2:8">
      <c r="B12" s="188" t="str">
        <f>IF(H12="Y","Visual Inspection - Dev  ",'V8 Calculator'!L21)</f>
        <v xml:space="preserve">Visual Inspection - Not Selected  </v>
      </c>
      <c r="C12" s="402">
        <f t="shared" si="0"/>
        <v>0</v>
      </c>
      <c r="D12" s="265">
        <f t="shared" si="1"/>
        <v>0</v>
      </c>
      <c r="E12" s="265">
        <f t="shared" si="2"/>
        <v>0</v>
      </c>
      <c r="F12" s="252">
        <f>IF(ISERROR(VLOOKUP(B12,MASData,6,FALSE)),0,VLOOKUP(B12,MASData,6,FALSE))</f>
        <v>0</v>
      </c>
      <c r="H12" t="str">
        <f>'V8 Calculator'!F21</f>
        <v>N</v>
      </c>
    </row>
    <row r="13" spans="2:8">
      <c r="B13" s="188" t="str">
        <f>IF(H13="Y","Assist - Dev  ",'V8 Calculator'!L22)</f>
        <v xml:space="preserve">Assist - Not Selected  </v>
      </c>
      <c r="C13" s="402">
        <f t="shared" si="0"/>
        <v>0</v>
      </c>
      <c r="D13" s="265">
        <f t="shared" si="1"/>
        <v>0</v>
      </c>
      <c r="E13" s="265">
        <f t="shared" si="2"/>
        <v>0</v>
      </c>
      <c r="F13" s="250"/>
      <c r="H13" t="str">
        <f>'V8 Calculator'!F22</f>
        <v>N</v>
      </c>
    </row>
    <row r="14" spans="2:8" ht="16.5" thickBot="1">
      <c r="B14" s="191" t="str">
        <f>IF(H14="Y","Optimizer - Dev  ",'V8 Calculator'!L23)</f>
        <v xml:space="preserve">Optimizer - Not Selected  </v>
      </c>
      <c r="C14" s="402">
        <f t="shared" si="0"/>
        <v>0</v>
      </c>
      <c r="D14" s="265">
        <f t="shared" si="1"/>
        <v>0</v>
      </c>
      <c r="E14" s="265">
        <f t="shared" si="2"/>
        <v>0</v>
      </c>
      <c r="F14" s="253"/>
      <c r="H14" t="str">
        <f>'V8 Calculator'!F23</f>
        <v>N</v>
      </c>
    </row>
    <row r="15" spans="2:8" ht="16.5" thickBot="1">
      <c r="B15" s="234" t="s">
        <v>19</v>
      </c>
      <c r="C15" s="403">
        <f>SUM(C7:C14)</f>
        <v>2</v>
      </c>
      <c r="D15" s="403">
        <f t="shared" ref="D15:F15" si="3">SUM(D7:D14)</f>
        <v>10</v>
      </c>
      <c r="E15" s="403">
        <f t="shared" si="3"/>
        <v>0</v>
      </c>
      <c r="F15" s="261">
        <f t="shared" si="3"/>
        <v>0</v>
      </c>
    </row>
    <row r="16" spans="2:8" ht="16.5" thickBot="1"/>
    <row r="17" spans="2:7" ht="16.5" thickBot="1">
      <c r="B17" s="192" t="s">
        <v>135</v>
      </c>
      <c r="C17" s="34" t="s">
        <v>186</v>
      </c>
      <c r="D17" s="31" t="s">
        <v>189</v>
      </c>
      <c r="E17" s="34" t="s">
        <v>190</v>
      </c>
      <c r="F17" s="31" t="s">
        <v>191</v>
      </c>
    </row>
    <row r="18" spans="2:7">
      <c r="B18" s="236" t="str">
        <f>IF(OR(H7="Y",H8="Y"),"Manage/Health DB2 - Dev  ",'V8 Calculator'!L27)</f>
        <v xml:space="preserve">Manage/Health DB2 - Dev  </v>
      </c>
      <c r="C18" s="401">
        <f>IF('V8 Calculator'!F7="Y",0,IF(ISERROR(VLOOKUP(B18,MASData,2,FALSE)),0,VLOOKUP(B18,MASData,2,FALSE)))</f>
        <v>6</v>
      </c>
      <c r="D18" s="401">
        <f>IF('V8 Calculator'!F7="Y",0,IF(ISERROR(VLOOKUP(B18,MASData,3,FALSE)),0,VLOOKUP(B18,MASData,3,FALSE)))</f>
        <v>100</v>
      </c>
      <c r="E18" s="401">
        <f>IF('V8 Calculator'!F7="Y",0,IF(ISERROR(VLOOKUP(B18,MASData,4,FALSE)),0,VLOOKUP(B18,MASData,4,FALSE)))</f>
        <v>0</v>
      </c>
      <c r="F18" s="400">
        <f>IF('V8 Calculator'!F7="Y",0,IF('V8 Calculator'!F12="N",IF(ISERROR(VLOOKUP(B18,MASData,5,FALSE)),0,VLOOKUP(B18,MASData,5,FALSE)),'V8 Calculator'!P27))</f>
        <v>256</v>
      </c>
    </row>
    <row r="19" spans="2:7">
      <c r="B19" s="237" t="str">
        <f>IF(H9="Y","Monitor DB2 - Dev  ",'V8 Calculator'!L28)</f>
        <v xml:space="preserve">Monitor DB2 - Not Selected  </v>
      </c>
      <c r="C19" s="265">
        <f>IF('V8 Calculator'!F8="Y",0,IF(ISERROR(VLOOKUP(B19,MASData,2,FALSE)),0,VLOOKUP(B19,MASData,2,FALSE)))</f>
        <v>0</v>
      </c>
      <c r="D19" s="265">
        <f>IF('V8 Calculator'!F8="Y",0,IF(ISERROR(VLOOKUP(B19,MASData,3,FALSE)),0,VLOOKUP(B19,MASData,3,FALSE)))</f>
        <v>0</v>
      </c>
      <c r="E19" s="265">
        <f>IF('V8 Calculator'!F8="Y",0,IF(ISERROR(VLOOKUP(B19,MASData,4,FALSE)),0,VLOOKUP(B19,MASData,4,FALSE)))</f>
        <v>0</v>
      </c>
      <c r="F19" s="271">
        <f>IF('V8 Calculator'!F8="Y",0,IF('V8 Calculator'!F12="N",IF(ISERROR(VLOOKUP(B19,MASData,5,FALSE)),0,VLOOKUP(B19,MASData,5,FALSE)),'V8 Calculator'!P28))</f>
        <v>0</v>
      </c>
    </row>
    <row r="20" spans="2:7">
      <c r="B20" s="237" t="str">
        <f>IF(H7="Y","Manage - (MIF, Rprt, Crontask) + Cognos  ",'V8 Calculator'!L29)</f>
        <v xml:space="preserve">Manage - (MIF, Rprt, Crontask) + Cognos  </v>
      </c>
      <c r="C20" s="265">
        <f>IF(ISERROR(VLOOKUP(B20,MASData,2,FALSE)),0,VLOOKUP(B20,MASData,2,FALSE))++IF(ISERROR(VLOOKUP("Cognos",MASData,2,FALSE)),0,VLOOKUP("Cognos",MASData,2,FALSE))</f>
        <v>0</v>
      </c>
      <c r="D20" s="265">
        <f t="shared" ref="D20:D26" si="4">IF(ISERROR(VLOOKUP(B20,MASData,3,FALSE)),0,VLOOKUP(B20,MASData,3,FALSE))</f>
        <v>0</v>
      </c>
      <c r="E20" s="265">
        <f t="shared" ref="E20:E26" si="5">IF(ISERROR(VLOOKUP(B20,MASData,4,FALSE)),0,VLOOKUP(B20,MASData,4,FALSE))</f>
        <v>0</v>
      </c>
      <c r="F20" s="271">
        <f t="shared" ref="F20:F26" si="6">IF(ISERROR(VLOOKUP(B20,MASData,5,FALSE)),0,VLOOKUP(B20,MASData,5,FALSE))</f>
        <v>0</v>
      </c>
    </row>
    <row r="21" spans="2:7">
      <c r="B21" s="237" t="str">
        <f>IF(OR(H10="Y",H11="Y"),"Watson Studio - Dev  ",'V8 Calculator'!L30)</f>
        <v xml:space="preserve">Watson Studio - Not Selected  </v>
      </c>
      <c r="C21" s="265">
        <f t="shared" ref="C21:C26" si="7">IF(ISERROR(VLOOKUP(B21,MASData,2,FALSE)),0,VLOOKUP(B21,MASData,2,FALSE))</f>
        <v>0</v>
      </c>
      <c r="D21" s="265">
        <f t="shared" si="4"/>
        <v>0</v>
      </c>
      <c r="E21" s="265">
        <f t="shared" si="5"/>
        <v>0</v>
      </c>
      <c r="F21" s="402">
        <f t="shared" si="6"/>
        <v>0</v>
      </c>
    </row>
    <row r="22" spans="2:7">
      <c r="B22" s="237" t="str">
        <f>IF(H10="Y","Watson ML - Dev  ",'V8 Calculator'!L31)</f>
        <v xml:space="preserve">Watson ML - Not Selected  </v>
      </c>
      <c r="C22" s="265">
        <f t="shared" si="7"/>
        <v>0</v>
      </c>
      <c r="D22" s="265">
        <f t="shared" si="4"/>
        <v>0</v>
      </c>
      <c r="E22" s="265">
        <f t="shared" si="5"/>
        <v>0</v>
      </c>
      <c r="F22" s="402">
        <f t="shared" si="6"/>
        <v>0</v>
      </c>
    </row>
    <row r="23" spans="2:7">
      <c r="B23" s="237" t="str">
        <f>IF(H13="Y","Watson Discovery - Dev  ",'V8 Calculator'!L32)</f>
        <v xml:space="preserve">Watson Discovery - Not Selected  </v>
      </c>
      <c r="C23" s="265">
        <f t="shared" si="7"/>
        <v>0</v>
      </c>
      <c r="D23" s="265">
        <f t="shared" si="4"/>
        <v>0</v>
      </c>
      <c r="E23" s="265">
        <f t="shared" si="5"/>
        <v>0</v>
      </c>
      <c r="F23" s="402">
        <f t="shared" si="6"/>
        <v>0</v>
      </c>
    </row>
    <row r="24" spans="2:7">
      <c r="B24" s="237" t="str">
        <f>IF(H9="Y","Kafka - Dev  ",'V8 Calculator'!L33)</f>
        <v xml:space="preserve">Kafka - Not Selected  </v>
      </c>
      <c r="C24" s="265">
        <f t="shared" si="7"/>
        <v>0</v>
      </c>
      <c r="D24" s="265">
        <f t="shared" si="4"/>
        <v>0</v>
      </c>
      <c r="E24" s="265">
        <f t="shared" si="5"/>
        <v>0</v>
      </c>
      <c r="F24" s="402">
        <f t="shared" si="6"/>
        <v>0</v>
      </c>
    </row>
    <row r="25" spans="2:7">
      <c r="B25" s="237" t="str">
        <f>IF(H13="Y","CouchDB - Dev  ",'V8 Calculator'!L34)</f>
        <v xml:space="preserve">CouchDB - Not Selected  </v>
      </c>
      <c r="C25" s="265">
        <f t="shared" si="7"/>
        <v>0</v>
      </c>
      <c r="D25" s="265">
        <f t="shared" si="4"/>
        <v>0</v>
      </c>
      <c r="E25" s="265">
        <f t="shared" si="5"/>
        <v>0</v>
      </c>
      <c r="F25" s="402">
        <f t="shared" si="6"/>
        <v>0</v>
      </c>
    </row>
    <row r="26" spans="2:7" ht="16.5" thickBot="1">
      <c r="B26" s="238" t="str">
        <f>IF(COUNTIF(H7:H14,"Y")&gt;0,"MongoDB - Dev  ","MongoDB - Not Required")</f>
        <v xml:space="preserve">MongoDB - Dev  </v>
      </c>
      <c r="C26" s="274">
        <f t="shared" si="7"/>
        <v>2</v>
      </c>
      <c r="D26" s="274">
        <f t="shared" si="4"/>
        <v>0</v>
      </c>
      <c r="E26" s="274">
        <f t="shared" si="5"/>
        <v>20</v>
      </c>
      <c r="F26" s="278">
        <f t="shared" si="6"/>
        <v>0</v>
      </c>
    </row>
    <row r="27" spans="2:7" ht="16.5" thickBot="1">
      <c r="B27" s="234" t="s">
        <v>161</v>
      </c>
      <c r="C27" s="275">
        <f>SUM(C18:C26)</f>
        <v>8</v>
      </c>
      <c r="D27" s="275">
        <f>SUM(D18:D26)</f>
        <v>100</v>
      </c>
      <c r="E27" s="275">
        <f>SUM(E18:E26)</f>
        <v>20</v>
      </c>
      <c r="F27" s="275">
        <f>SUM(F18:F26)</f>
        <v>256</v>
      </c>
    </row>
    <row r="28" spans="2:7" ht="16.5" thickBot="1"/>
    <row r="29" spans="2:7" ht="16.5" thickBot="1">
      <c r="B29" s="192" t="s">
        <v>147</v>
      </c>
      <c r="C29" s="34" t="s">
        <v>186</v>
      </c>
      <c r="D29" s="11" t="s">
        <v>189</v>
      </c>
      <c r="E29" s="11" t="s">
        <v>190</v>
      </c>
      <c r="F29" s="31" t="s">
        <v>191</v>
      </c>
    </row>
    <row r="30" spans="2:7">
      <c r="B30" s="232" t="str">
        <f>'V8 Calculator'!L39</f>
        <v xml:space="preserve">MAS Core  </v>
      </c>
      <c r="C30" s="404">
        <f>IF(ISERROR(VLOOKUP(B30,MASData,2,FALSE)),0,VLOOKUP(B30,MASData,2,FALSE))</f>
        <v>2</v>
      </c>
      <c r="D30" s="269">
        <f>IF(ISERROR(VLOOKUP(B30,MASData,3,FALSE)),0,VLOOKUP(B30,MASData,3,FALSE))</f>
        <v>2</v>
      </c>
      <c r="E30" s="269">
        <f>IF(ISERROR(VLOOKUP(B30,MASData,4,FALSE)),0,VLOOKUP(B30,MASData,4,FALSE))</f>
        <v>20</v>
      </c>
      <c r="F30" s="269">
        <f>IF(ISERROR(VLOOKUP(B30,MASData,5,FALSE)),0,VLOOKUP(B30,MASData,5,FALSE))</f>
        <v>0</v>
      </c>
    </row>
    <row r="31" spans="2:7">
      <c r="B31" s="233" t="str">
        <f>'V8 Calculator'!L40</f>
        <v xml:space="preserve">OpenShift Worker Nodes  </v>
      </c>
      <c r="C31" s="270">
        <f>IF(ISERROR(VLOOKUP(B31,MASData,2,FALSE)),0,VLOOKUP(B31,MASData,2,FALSE))</f>
        <v>3.5</v>
      </c>
      <c r="D31" s="271">
        <f>IF(ISERROR(VLOOKUP(B31,MASData,3,FALSE)),0,VLOOKUP(B31,MASData,3,FALSE))</f>
        <v>15.5</v>
      </c>
      <c r="E31" s="270">
        <f>IF(ISERROR(VLOOKUP(B31,MASData,4,FALSE)),0,VLOOKUP(B31,MASData,4,FALSE))</f>
        <v>240</v>
      </c>
      <c r="F31" s="270">
        <f>IF(ISERROR(VLOOKUP(B31,MASData,5,FALSE)),0,VLOOKUP(B31,MASData,5,FALSE))</f>
        <v>0</v>
      </c>
    </row>
    <row r="32" spans="2:7" ht="16.5" thickBot="1">
      <c r="B32" s="233" t="str">
        <f>'V8 Calculator'!L41</f>
        <v xml:space="preserve">CP4D Base  </v>
      </c>
      <c r="C32" s="265">
        <f>IF(OR($H$7="Y",$H$8="Y",$H$9="Y",$H$10="Y",$H$11="Y",$B$13="Y"),IF(ISERROR(VLOOKUP(B32,MASData,2,FALSE)),0,VLOOKUP(B32,MASData,2,FALSE)),0)</f>
        <v>3.5</v>
      </c>
      <c r="D32" s="265">
        <f>IF(OR($H$7="Y",$H$8="Y",$H$9="Y",$H$10="Y",$H$11="Y",$B$13="Y"),IF(ISERROR(VLOOKUP(B32,MASData,3,FALSE)),0,VLOOKUP(B32,MASData,3,FALSE)),0)</f>
        <v>10</v>
      </c>
      <c r="E32" s="265">
        <f>IF(OR($H$7="Y",$H$8="Y",$H$9="Y",$H$10="Y",$H$11="Y",$B$13="Y"),IF(ISERROR(VLOOKUP(B32,MASData,4,FALSE)),0,VLOOKUP(B32,MASData,4,FALSE)),0)</f>
        <v>655</v>
      </c>
      <c r="F32" s="265">
        <f>IF(OR($H$7="Y",$H$8="Y",$H$9="Y",$H$10="Y",$H$11="Y",$B$13="Y"),IF(ISERROR(VLOOKUP(B32,MASData,5,FALSE)),0,VLOOKUP(B32,MASData,5,FALSE)),0)</f>
        <v>0</v>
      </c>
      <c r="G32" s="32"/>
    </row>
    <row r="33" spans="2:7" ht="16.5" thickBot="1">
      <c r="B33" s="187" t="s">
        <v>162</v>
      </c>
      <c r="C33" s="403">
        <f>SUM(C30:C32)</f>
        <v>9</v>
      </c>
      <c r="D33" s="403">
        <f>SUM(D30:D32)</f>
        <v>27.5</v>
      </c>
      <c r="E33" s="403">
        <f>SUM(E30:E32)</f>
        <v>915</v>
      </c>
      <c r="F33" s="403">
        <f>SUM(F30:F32)</f>
        <v>0</v>
      </c>
    </row>
    <row r="34" spans="2:7" ht="16.5" thickBot="1"/>
    <row r="35" spans="2:7" ht="16.5" thickBot="1">
      <c r="B35" s="230" t="s">
        <v>164</v>
      </c>
      <c r="C35" s="31" t="s">
        <v>186</v>
      </c>
      <c r="D35" s="11" t="s">
        <v>189</v>
      </c>
      <c r="E35" s="11" t="s">
        <v>190</v>
      </c>
      <c r="F35" s="31" t="s">
        <v>191</v>
      </c>
      <c r="G35" s="11" t="s">
        <v>157</v>
      </c>
    </row>
    <row r="36" spans="2:7" ht="16.5" thickBot="1">
      <c r="B36" s="222" t="s">
        <v>165</v>
      </c>
      <c r="C36" s="405">
        <f>C33+C27+C15</f>
        <v>19</v>
      </c>
      <c r="D36" s="405">
        <f>D33+D27+D15</f>
        <v>137.5</v>
      </c>
      <c r="E36" s="405">
        <f>E33+E27+E15</f>
        <v>935</v>
      </c>
      <c r="F36" s="405">
        <f>F33+F27</f>
        <v>256</v>
      </c>
      <c r="G36" s="405">
        <f>F15</f>
        <v>0</v>
      </c>
    </row>
    <row r="37" spans="2:7" ht="16.5" thickBot="1"/>
    <row r="38" spans="2:7" ht="16.5" thickBot="1">
      <c r="B38" s="411" t="str">
        <f>"Total Dev Cluster Requirements * "&amp;C4</f>
        <v>Total Dev Cluster Requirements * 1</v>
      </c>
      <c r="C38" s="412">
        <f>C36*$C$4</f>
        <v>19</v>
      </c>
      <c r="D38" s="412">
        <f t="shared" ref="D38:G38" si="8">D36*$C$4</f>
        <v>137.5</v>
      </c>
      <c r="E38" s="412">
        <f t="shared" si="8"/>
        <v>935</v>
      </c>
      <c r="F38" s="412">
        <f t="shared" si="8"/>
        <v>256</v>
      </c>
      <c r="G38" s="412">
        <f t="shared" si="8"/>
        <v>0</v>
      </c>
    </row>
  </sheetData>
  <sheetProtection algorithmName="SHA-512" hashValue="Np586ben25CYc+3Bv9x7FgSqpZSpxBAq/GpXJhiviMda2M+FP28HTAVLN1yDVw4095XnecD+ETquMgvQBXwuGw==" saltValue="uuhnCvBLOLn6ZN9Ijn5NmQ==" spinCount="100000" sheet="1" objects="1" scenarios="1"/>
  <mergeCells count="1">
    <mergeCell ref="B1:G2"/>
  </mergeCells>
  <conditionalFormatting sqref="B8:B14">
    <cfRule type="expression" dxfId="31" priority="9">
      <formula>$F$18="N"</formula>
    </cfRule>
  </conditionalFormatting>
  <conditionalFormatting sqref="B7:E7">
    <cfRule type="expression" dxfId="30" priority="40">
      <formula>$F$18="N"</formula>
    </cfRule>
  </conditionalFormatting>
  <conditionalFormatting sqref="B18:E26">
    <cfRule type="expression" dxfId="29" priority="2">
      <formula>$F$18="N"</formula>
    </cfRule>
  </conditionalFormatting>
  <conditionalFormatting sqref="C10">
    <cfRule type="expression" dxfId="28" priority="43">
      <formula>$M$21="Error"</formula>
    </cfRule>
  </conditionalFormatting>
  <conditionalFormatting sqref="C12">
    <cfRule type="expression" dxfId="27" priority="35">
      <formula>$F$23="N"</formula>
    </cfRule>
  </conditionalFormatting>
  <conditionalFormatting sqref="C13">
    <cfRule type="expression" dxfId="26" priority="34">
      <formula>$F$24="N"</formula>
    </cfRule>
  </conditionalFormatting>
  <conditionalFormatting sqref="C14">
    <cfRule type="expression" dxfId="25" priority="33">
      <formula>$F$25="N"</formula>
    </cfRule>
  </conditionalFormatting>
  <conditionalFormatting sqref="C8:E8">
    <cfRule type="expression" dxfId="24" priority="39">
      <formula>$F$19="N"</formula>
    </cfRule>
  </conditionalFormatting>
  <conditionalFormatting sqref="C9:E9">
    <cfRule type="expression" dxfId="23" priority="38">
      <formula>$F$20="N"</formula>
    </cfRule>
    <cfRule type="expression" dxfId="22" priority="48">
      <formula>$M$20="Error"</formula>
    </cfRule>
  </conditionalFormatting>
  <conditionalFormatting sqref="C10:E10">
    <cfRule type="expression" dxfId="21" priority="37">
      <formula>$F$21="N"</formula>
    </cfRule>
  </conditionalFormatting>
  <conditionalFormatting sqref="C11:E11">
    <cfRule type="expression" dxfId="20" priority="36">
      <formula>$F$22="N"</formula>
    </cfRule>
    <cfRule type="expression" dxfId="19" priority="47">
      <formula>$M$22="Error"</formula>
    </cfRule>
  </conditionalFormatting>
  <conditionalFormatting sqref="D10">
    <cfRule type="expression" dxfId="18" priority="45">
      <formula>$N$21="Error"</formula>
    </cfRule>
  </conditionalFormatting>
  <conditionalFormatting sqref="D11">
    <cfRule type="expression" dxfId="17" priority="41">
      <formula>$N$22="Error"</formula>
    </cfRule>
  </conditionalFormatting>
  <conditionalFormatting sqref="D12:E14">
    <cfRule type="expression" dxfId="16" priority="29">
      <formula>$F$20="N"</formula>
    </cfRule>
    <cfRule type="expression" dxfId="15" priority="30">
      <formula>$M$20="Error"</formula>
    </cfRule>
  </conditionalFormatting>
  <conditionalFormatting sqref="E10">
    <cfRule type="expression" dxfId="14" priority="46">
      <formula>$O$21="Error"</formula>
    </cfRule>
  </conditionalFormatting>
  <conditionalFormatting sqref="E11">
    <cfRule type="expression" dxfId="13" priority="42">
      <formula>$O$22="Error"</formula>
    </cfRule>
  </conditionalFormatting>
  <conditionalFormatting sqref="F12">
    <cfRule type="expression" dxfId="12" priority="4">
      <formula>$F$20="N"</formula>
    </cfRule>
    <cfRule type="expression" dxfId="11" priority="5">
      <formula>$M$20="Error"</formula>
    </cfRule>
  </conditionalFormatting>
  <conditionalFormatting sqref="F18">
    <cfRule type="expression" dxfId="10" priority="1">
      <formula>$F$18="N"</formula>
    </cfRule>
  </conditionalFormatting>
  <conditionalFormatting sqref="F19">
    <cfRule type="expression" dxfId="9" priority="25">
      <formula>$F$20="N"</formula>
    </cfRule>
  </conditionalFormatting>
  <conditionalFormatting sqref="F20">
    <cfRule type="expression" dxfId="8" priority="24">
      <formula>$F$18="N"</formula>
    </cfRule>
  </conditionalFormatting>
  <conditionalFormatting sqref="F21">
    <cfRule type="expression" dxfId="7" priority="17">
      <formula>AND($F$21="N",$F$22="N")</formula>
    </cfRule>
    <cfRule type="expression" dxfId="6" priority="23">
      <formula>OR($M$21="Error",$M$22="Error")</formula>
    </cfRule>
  </conditionalFormatting>
  <conditionalFormatting sqref="F21:F26">
    <cfRule type="expression" dxfId="5" priority="50">
      <formula>$M$20="Error"</formula>
    </cfRule>
  </conditionalFormatting>
  <conditionalFormatting sqref="F22">
    <cfRule type="expression" dxfId="4" priority="16">
      <formula>$F$21="N"</formula>
    </cfRule>
    <cfRule type="expression" dxfId="3" priority="22">
      <formula>$M$21="Error"</formula>
    </cfRule>
  </conditionalFormatting>
  <conditionalFormatting sqref="F23">
    <cfRule type="expression" dxfId="2" priority="21">
      <formula>$F$24="N"</formula>
    </cfRule>
  </conditionalFormatting>
  <conditionalFormatting sqref="F24">
    <cfRule type="expression" dxfId="1" priority="20">
      <formula>$F$20="N"</formula>
    </cfRule>
  </conditionalFormatting>
  <conditionalFormatting sqref="F25:F26">
    <cfRule type="expression" dxfId="0" priority="6">
      <formula>$F$24="N"</formula>
    </cfRule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555D5-B7BA-4661-A84E-93B4BDFEBFD1}">
  <dimension ref="B1:C31"/>
  <sheetViews>
    <sheetView showGridLines="0" showRowColHeaders="0" workbookViewId="0">
      <selection activeCell="C22" sqref="C22"/>
    </sheetView>
  </sheetViews>
  <sheetFormatPr defaultColWidth="8.75" defaultRowHeight="15.75"/>
  <cols>
    <col min="1" max="1" width="3.5" customWidth="1"/>
    <col min="2" max="2" width="9.25" customWidth="1"/>
    <col min="3" max="3" width="82.75" customWidth="1"/>
  </cols>
  <sheetData>
    <row r="1" spans="2:3" ht="16.5" thickBot="1">
      <c r="B1" s="94" t="s">
        <v>73</v>
      </c>
      <c r="C1" s="95" t="s">
        <v>74</v>
      </c>
    </row>
    <row r="2" spans="2:3">
      <c r="B2" s="96" t="s">
        <v>177</v>
      </c>
      <c r="C2" s="97" t="s">
        <v>230</v>
      </c>
    </row>
    <row r="3" spans="2:3">
      <c r="B3" s="78"/>
      <c r="C3" s="98" t="s">
        <v>178</v>
      </c>
    </row>
    <row r="4" spans="2:3">
      <c r="B4" s="78"/>
      <c r="C4" s="98" t="s">
        <v>179</v>
      </c>
    </row>
    <row r="5" spans="2:3">
      <c r="B5" s="78"/>
      <c r="C5" s="98" t="s">
        <v>180</v>
      </c>
    </row>
    <row r="6" spans="2:3">
      <c r="B6" s="78"/>
      <c r="C6" s="98" t="s">
        <v>181</v>
      </c>
    </row>
    <row r="7" spans="2:3">
      <c r="B7" s="78"/>
      <c r="C7" s="98" t="s">
        <v>182</v>
      </c>
    </row>
    <row r="8" spans="2:3">
      <c r="B8" s="244"/>
      <c r="C8" s="245" t="s">
        <v>231</v>
      </c>
    </row>
    <row r="9" spans="2:3">
      <c r="B9" s="244"/>
      <c r="C9" s="245" t="s">
        <v>184</v>
      </c>
    </row>
    <row r="10" spans="2:3">
      <c r="B10" s="244"/>
      <c r="C10" s="245" t="s">
        <v>232</v>
      </c>
    </row>
    <row r="11" spans="2:3" ht="16.5" thickBot="1">
      <c r="B11" s="79"/>
      <c r="C11" s="99" t="s">
        <v>183</v>
      </c>
    </row>
    <row r="12" spans="2:3" ht="16.5" thickBot="1">
      <c r="B12" s="94"/>
      <c r="C12" s="95"/>
    </row>
    <row r="13" spans="2:3">
      <c r="B13" s="96" t="s">
        <v>241</v>
      </c>
      <c r="C13" s="97" t="s">
        <v>242</v>
      </c>
    </row>
    <row r="14" spans="2:3" ht="31.5">
      <c r="B14" s="78"/>
      <c r="C14" s="98" t="s">
        <v>246</v>
      </c>
    </row>
    <row r="15" spans="2:3" ht="31.5">
      <c r="B15" s="78"/>
      <c r="C15" s="98" t="s">
        <v>243</v>
      </c>
    </row>
    <row r="16" spans="2:3">
      <c r="B16" s="78"/>
      <c r="C16" s="98" t="s">
        <v>244</v>
      </c>
    </row>
    <row r="17" spans="2:3" ht="16.5" thickBot="1">
      <c r="B17" s="244"/>
      <c r="C17" s="99" t="s">
        <v>245</v>
      </c>
    </row>
    <row r="18" spans="2:3" ht="16.5" thickBot="1">
      <c r="B18" s="94"/>
      <c r="C18" s="95"/>
    </row>
    <row r="19" spans="2:3">
      <c r="B19" s="96" t="s">
        <v>249</v>
      </c>
      <c r="C19" s="245" t="s">
        <v>250</v>
      </c>
    </row>
    <row r="20" spans="2:3">
      <c r="B20" s="244"/>
      <c r="C20" s="245" t="s">
        <v>260</v>
      </c>
    </row>
    <row r="21" spans="2:3">
      <c r="B21" s="244"/>
      <c r="C21" s="245" t="s">
        <v>262</v>
      </c>
    </row>
    <row r="22" spans="2:3">
      <c r="B22" s="244"/>
      <c r="C22" s="245"/>
    </row>
    <row r="23" spans="2:3">
      <c r="B23" s="244"/>
      <c r="C23" s="245"/>
    </row>
    <row r="24" spans="2:3">
      <c r="B24" s="244"/>
      <c r="C24" s="245"/>
    </row>
    <row r="25" spans="2:3">
      <c r="B25" s="244"/>
      <c r="C25" s="245"/>
    </row>
    <row r="26" spans="2:3">
      <c r="B26" s="244"/>
      <c r="C26" s="245"/>
    </row>
    <row r="27" spans="2:3">
      <c r="B27" s="244"/>
      <c r="C27" s="245"/>
    </row>
    <row r="28" spans="2:3">
      <c r="B28" s="244"/>
      <c r="C28" s="245"/>
    </row>
    <row r="29" spans="2:3">
      <c r="B29" s="244"/>
      <c r="C29" s="245"/>
    </row>
    <row r="30" spans="2:3">
      <c r="B30" s="244"/>
      <c r="C30" s="245"/>
    </row>
    <row r="31" spans="2:3" ht="16.5" thickBot="1">
      <c r="B31" s="79"/>
      <c r="C31" s="99"/>
    </row>
  </sheetData>
  <sheetProtection algorithmName="SHA-512" hashValue="fr83yjSGMT1YwjK6NfQ7j9hw+Os9nQ9zTDekEc+P5BSFDBTSBeyvmcTRWVha46OcLWLI4BUWbkxMOzIDBWGPAQ==" saltValue="jjmjiMTe80MBRhke/bXU4A==" spinCount="100000" sheet="1" objects="1" scenarios="1"/>
  <pageMargins left="0.25" right="0.25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6B732-9859-7141-972A-CFD0FF125ADD}">
  <dimension ref="A1:X138"/>
  <sheetViews>
    <sheetView showGridLines="0" showRowColHeaders="0" workbookViewId="0"/>
  </sheetViews>
  <sheetFormatPr defaultColWidth="11" defaultRowHeight="15.75"/>
  <cols>
    <col min="1" max="1" width="33" customWidth="1"/>
    <col min="2" max="2" width="10.75" customWidth="1"/>
    <col min="3" max="3" width="12.25" customWidth="1"/>
    <col min="4" max="5" width="15.75" customWidth="1"/>
    <col min="7" max="7" width="12.25" customWidth="1"/>
    <col min="14" max="14" width="13.75" customWidth="1"/>
    <col min="15" max="15" width="9.75" customWidth="1"/>
    <col min="16" max="16" width="13" customWidth="1"/>
    <col min="17" max="17" width="14.5" customWidth="1"/>
    <col min="18" max="18" width="20.75" customWidth="1"/>
    <col min="19" max="21" width="13.75" customWidth="1"/>
    <col min="22" max="24" width="12.25" customWidth="1"/>
  </cols>
  <sheetData>
    <row r="1" spans="1:24" ht="16.5" thickBot="1"/>
    <row r="2" spans="1:24" ht="16.5" thickBot="1">
      <c r="A2" s="227" t="s">
        <v>156</v>
      </c>
      <c r="B2" s="228" t="str">
        <f>'V8 Calculator'!F7</f>
        <v>N</v>
      </c>
    </row>
    <row r="3" spans="1:24" ht="19.5" thickBot="1">
      <c r="A3" s="136" t="s">
        <v>1</v>
      </c>
      <c r="B3" s="140" t="str">
        <f>'V8 Calculator'!F16</f>
        <v>Y</v>
      </c>
      <c r="C3" s="494" t="s">
        <v>92</v>
      </c>
      <c r="D3" s="592"/>
      <c r="E3" s="592"/>
      <c r="F3" s="592"/>
      <c r="G3" s="495"/>
      <c r="H3" s="494" t="s">
        <v>93</v>
      </c>
      <c r="I3" s="592"/>
      <c r="J3" s="592"/>
      <c r="K3" s="592"/>
      <c r="L3" s="495"/>
      <c r="Q3" s="13" t="s">
        <v>15</v>
      </c>
      <c r="R3" s="14"/>
      <c r="S3" s="14"/>
      <c r="T3" s="14"/>
      <c r="U3" s="14"/>
      <c r="V3" s="14"/>
      <c r="W3" s="14"/>
      <c r="X3" s="15"/>
    </row>
    <row r="4" spans="1:24" ht="16.5" thickBot="1">
      <c r="A4" s="137" t="s">
        <v>9</v>
      </c>
      <c r="B4" s="139" t="str">
        <f>'V8 Calculator'!F17</f>
        <v>N</v>
      </c>
      <c r="C4" s="109" t="s">
        <v>94</v>
      </c>
      <c r="D4" s="62" t="s">
        <v>188</v>
      </c>
      <c r="E4" s="120" t="s">
        <v>13</v>
      </c>
      <c r="F4" s="120" t="s">
        <v>88</v>
      </c>
      <c r="G4" s="121" t="s">
        <v>89</v>
      </c>
      <c r="H4" s="2" t="s">
        <v>94</v>
      </c>
      <c r="I4" s="62" t="s">
        <v>188</v>
      </c>
      <c r="J4" s="120" t="s">
        <v>13</v>
      </c>
      <c r="K4" s="120" t="s">
        <v>88</v>
      </c>
      <c r="L4" s="121" t="s">
        <v>89</v>
      </c>
      <c r="Q4" s="3"/>
      <c r="R4" s="16"/>
      <c r="S4" s="16"/>
      <c r="T4" s="17" t="s">
        <v>27</v>
      </c>
      <c r="U4" s="18"/>
      <c r="V4" s="18"/>
      <c r="W4" s="18"/>
      <c r="X4" s="19"/>
    </row>
    <row r="5" spans="1:24" ht="16.5" thickBot="1">
      <c r="A5" s="1" t="s">
        <v>95</v>
      </c>
      <c r="B5" s="2">
        <v>50</v>
      </c>
      <c r="C5" s="141">
        <f>ROUNDUP(B18/B5,0)</f>
        <v>1</v>
      </c>
      <c r="D5" s="595" t="s">
        <v>1</v>
      </c>
      <c r="E5" s="595"/>
      <c r="F5" s="595"/>
      <c r="G5" s="595"/>
      <c r="H5" s="141">
        <f>B19</f>
        <v>1</v>
      </c>
      <c r="I5" s="590" t="s">
        <v>1</v>
      </c>
      <c r="J5" s="590"/>
      <c r="K5" s="590"/>
      <c r="L5" s="591"/>
      <c r="P5" s="55" t="s">
        <v>140</v>
      </c>
      <c r="Q5" s="21"/>
      <c r="R5" s="170" t="s">
        <v>16</v>
      </c>
      <c r="S5" s="175" t="s">
        <v>146</v>
      </c>
      <c r="T5" s="33" t="s">
        <v>141</v>
      </c>
      <c r="U5" s="22" t="s">
        <v>142</v>
      </c>
      <c r="V5" s="22" t="s">
        <v>143</v>
      </c>
      <c r="W5" s="23" t="s">
        <v>144</v>
      </c>
      <c r="X5" s="22" t="s">
        <v>145</v>
      </c>
    </row>
    <row r="6" spans="1:24" ht="16.5" thickBot="1">
      <c r="A6" s="6" t="s">
        <v>196</v>
      </c>
      <c r="B6">
        <v>1.5</v>
      </c>
      <c r="C6" s="111"/>
      <c r="D6" s="55">
        <f>IF(B3="N",0,($C$5*$B$6)+$B$8)</f>
        <v>2</v>
      </c>
      <c r="E6" s="108">
        <f>IF(B3="N",0,($C$5*$B$7)+$B$9)</f>
        <v>10</v>
      </c>
      <c r="F6" s="118">
        <v>0</v>
      </c>
      <c r="G6" s="193">
        <f>IF(OR(B3="N",B2="Y"),0,$B$11*$C$5)</f>
        <v>259.5</v>
      </c>
      <c r="H6" s="110"/>
      <c r="I6" s="128">
        <f>IF(B3="N",0,($H$5*$B$6)+$B$8)</f>
        <v>2</v>
      </c>
      <c r="J6" s="114">
        <f>IF(B3="N",0,($H$5*$B$7)+$B$9)</f>
        <v>10</v>
      </c>
      <c r="K6" s="115">
        <v>0</v>
      </c>
      <c r="L6" s="116">
        <f>IF(OR(B3="N",B2="Y"),0,$H$5*$B$11)</f>
        <v>259.5</v>
      </c>
      <c r="P6" s="201" t="str">
        <f>B24</f>
        <v xml:space="preserve">Xsmall/Min  </v>
      </c>
      <c r="Q6" s="125" t="s">
        <v>1</v>
      </c>
      <c r="R6" s="36" t="s">
        <v>2</v>
      </c>
      <c r="S6" s="176">
        <v>0</v>
      </c>
      <c r="T6" s="37">
        <v>50</v>
      </c>
      <c r="U6" s="24">
        <v>100</v>
      </c>
      <c r="V6" s="25">
        <v>250</v>
      </c>
      <c r="W6" s="25">
        <v>500</v>
      </c>
      <c r="X6" s="72">
        <f t="shared" ref="X6:X18" si="0">W6+V6</f>
        <v>750</v>
      </c>
    </row>
    <row r="7" spans="1:24">
      <c r="A7" s="6" t="s">
        <v>193</v>
      </c>
      <c r="B7">
        <v>9</v>
      </c>
      <c r="C7" s="141">
        <f>IF(B3="Y",0,ROUNDUP(B21/B5,0))</f>
        <v>0</v>
      </c>
      <c r="D7" s="596" t="str">
        <f>IF(B3="Y","Health 0 (Manage Active)","Health Stand Alone")</f>
        <v>Health 0 (Manage Active)</v>
      </c>
      <c r="E7" s="595"/>
      <c r="F7" s="595"/>
      <c r="G7" s="595"/>
      <c r="H7" s="110"/>
      <c r="I7" s="595"/>
      <c r="J7" s="595"/>
      <c r="K7" s="595"/>
      <c r="L7" s="597"/>
      <c r="P7" s="574" t="str">
        <f>IF('V8 Calculator'!F18="Y",IF(AND('V8 Calculator'!H18&lt;=T7,'V8 Calculator'!J18&lt;=T8),T5,IF(AND('V8 Calculator'!H18&lt;=U7,'V8 Calculator'!J18&lt;=U8),U5,IF(AND('V8 Calculator'!H18&lt;=V7,'V8 Calculator'!J18&lt;=V8),V5,IF(AND('V8 Calculator'!H18&lt;=W7,'V8 Calculator'!J18&lt;=W8),W5,X5)))),"Not Selected  ")</f>
        <v xml:space="preserve">Not Selected  </v>
      </c>
      <c r="Q7" s="578" t="s">
        <v>6</v>
      </c>
      <c r="R7" s="171" t="s">
        <v>7</v>
      </c>
      <c r="S7" s="177">
        <v>0</v>
      </c>
      <c r="T7" s="26">
        <v>1000</v>
      </c>
      <c r="U7" s="26">
        <v>5000</v>
      </c>
      <c r="V7" s="27">
        <v>50000</v>
      </c>
      <c r="W7" s="27">
        <v>500000</v>
      </c>
      <c r="X7" s="73">
        <f t="shared" si="0"/>
        <v>550000</v>
      </c>
    </row>
    <row r="8" spans="1:24" ht="16.5" thickBot="1">
      <c r="A8" s="6" t="s">
        <v>197</v>
      </c>
      <c r="B8">
        <v>0.5</v>
      </c>
      <c r="C8" s="111"/>
      <c r="D8" s="113">
        <f>IF(OR(B3="Y",B4="N"),0,($C$7*$B$6)+$B$8)</f>
        <v>0</v>
      </c>
      <c r="E8" s="114">
        <f>IF(OR(B3="Y",B4="N"),0,($C$7*$B$7)+$B$9)</f>
        <v>0</v>
      </c>
      <c r="F8" s="115">
        <v>0</v>
      </c>
      <c r="G8" s="194">
        <f>IF(OR(B3="Y",B4="N",B2="Y"),0,$C$7*$B$11)</f>
        <v>0</v>
      </c>
      <c r="H8" s="111"/>
      <c r="I8" s="128">
        <f>IF(OR(B3="Y",B4="N"),0,($H$5*$B$6)+$B$8)</f>
        <v>0</v>
      </c>
      <c r="J8" s="114">
        <f>IF(OR(B3="Y",B4="N"),0,($H$5*$B$7)+$B$9)</f>
        <v>0</v>
      </c>
      <c r="K8" s="115">
        <v>0</v>
      </c>
      <c r="L8" s="116">
        <f>IF(OR(B3="Y",B4="N",B2="Y"),0,$H$5*$B$11)</f>
        <v>0</v>
      </c>
      <c r="P8" s="575"/>
      <c r="Q8" s="579"/>
      <c r="R8" s="28" t="s">
        <v>2</v>
      </c>
      <c r="S8" s="179">
        <v>0</v>
      </c>
      <c r="T8" s="173">
        <v>1</v>
      </c>
      <c r="U8" s="29">
        <v>10</v>
      </c>
      <c r="V8" s="29">
        <v>40</v>
      </c>
      <c r="W8" s="30">
        <v>60</v>
      </c>
      <c r="X8" s="74">
        <f t="shared" si="0"/>
        <v>100</v>
      </c>
    </row>
    <row r="9" spans="1:24" ht="16.5" thickBot="1">
      <c r="A9" s="9" t="s">
        <v>96</v>
      </c>
      <c r="B9" s="8">
        <v>1</v>
      </c>
      <c r="C9" s="110"/>
      <c r="D9" s="62"/>
      <c r="E9" s="120"/>
      <c r="F9" s="120"/>
      <c r="G9" s="121"/>
      <c r="I9" s="62"/>
      <c r="J9" s="120"/>
      <c r="K9" s="120"/>
      <c r="L9" s="121"/>
      <c r="P9" s="574" t="str">
        <f>B24</f>
        <v xml:space="preserve">Xsmall/Min  </v>
      </c>
      <c r="Q9" s="578" t="s">
        <v>9</v>
      </c>
      <c r="R9" s="171" t="s">
        <v>2</v>
      </c>
      <c r="S9" s="177">
        <v>0</v>
      </c>
      <c r="T9" s="26">
        <v>1</v>
      </c>
      <c r="U9" s="26">
        <v>5</v>
      </c>
      <c r="V9" s="27">
        <v>15</v>
      </c>
      <c r="W9" s="27">
        <v>35</v>
      </c>
      <c r="X9" s="73">
        <f t="shared" si="0"/>
        <v>50</v>
      </c>
    </row>
    <row r="10" spans="1:24" ht="16.5" thickBot="1">
      <c r="A10" s="1" t="s">
        <v>109</v>
      </c>
      <c r="B10" s="2">
        <f>N35</f>
        <v>5.19</v>
      </c>
      <c r="C10" s="1"/>
      <c r="H10" s="2"/>
      <c r="L10" s="7"/>
      <c r="P10" s="575"/>
      <c r="Q10" s="579"/>
      <c r="R10" s="28" t="s">
        <v>20</v>
      </c>
      <c r="S10" s="179">
        <v>0</v>
      </c>
      <c r="T10" s="30">
        <v>500</v>
      </c>
      <c r="U10" s="29">
        <v>3000</v>
      </c>
      <c r="V10" s="29">
        <v>20000</v>
      </c>
      <c r="W10" s="30">
        <v>50000</v>
      </c>
      <c r="X10" s="74">
        <f t="shared" si="0"/>
        <v>70000</v>
      </c>
    </row>
    <row r="11" spans="1:24">
      <c r="A11" s="195" t="s">
        <v>102</v>
      </c>
      <c r="B11">
        <f>B5*B10</f>
        <v>259.5</v>
      </c>
      <c r="C11" s="6"/>
      <c r="L11" s="7"/>
      <c r="P11" s="574" t="str">
        <f>IF('V8 Calculator'!F19="Y",IF('V8 Calculator'!H19&lt;=T12,T5,IF('V8 Calculator'!H19&lt;=U12,U5,IF('V8 Calculator'!H19&lt;=V12,V5,IF('V8 Calculator'!H19&lt;=W12,W5,X5)))),"Not Selected  ")</f>
        <v xml:space="preserve">Not Selected  </v>
      </c>
      <c r="Q11" s="578" t="s">
        <v>10</v>
      </c>
      <c r="R11" s="203" t="s">
        <v>65</v>
      </c>
      <c r="S11" s="204">
        <v>0</v>
      </c>
      <c r="T11" s="205">
        <v>100</v>
      </c>
      <c r="U11" s="205">
        <v>12500</v>
      </c>
      <c r="V11" s="206">
        <v>85000</v>
      </c>
      <c r="W11" s="206">
        <v>210000</v>
      </c>
      <c r="X11" s="207">
        <f t="shared" si="0"/>
        <v>295000</v>
      </c>
    </row>
    <row r="12" spans="1:24">
      <c r="A12" s="6" t="s">
        <v>107</v>
      </c>
      <c r="B12">
        <f>N41</f>
        <v>119.68</v>
      </c>
      <c r="C12" s="6"/>
      <c r="L12" s="7"/>
      <c r="P12" s="598"/>
      <c r="Q12" s="580"/>
      <c r="R12" s="106" t="s">
        <v>64</v>
      </c>
      <c r="S12" s="178">
        <v>0</v>
      </c>
      <c r="T12" s="174">
        <f>U12/20</f>
        <v>164250</v>
      </c>
      <c r="U12" s="71">
        <f>V12/20</f>
        <v>3285000</v>
      </c>
      <c r="V12" s="56">
        <v>65700000</v>
      </c>
      <c r="W12" s="57">
        <v>821500000</v>
      </c>
      <c r="X12" s="75">
        <f t="shared" si="0"/>
        <v>887200000</v>
      </c>
    </row>
    <row r="13" spans="1:24" ht="16.5" thickBot="1">
      <c r="A13" s="9" t="s">
        <v>108</v>
      </c>
      <c r="B13" s="107">
        <f>P41</f>
        <v>0.17</v>
      </c>
      <c r="C13" s="9"/>
      <c r="D13" s="8"/>
      <c r="E13" s="8"/>
      <c r="F13" s="8"/>
      <c r="G13" s="8"/>
      <c r="H13" s="8"/>
      <c r="I13" s="8"/>
      <c r="J13" s="8"/>
      <c r="K13" s="8"/>
      <c r="L13" s="10"/>
      <c r="P13" s="575"/>
      <c r="Q13" s="579"/>
      <c r="R13" s="69" t="s">
        <v>2</v>
      </c>
      <c r="S13" s="179">
        <v>0</v>
      </c>
      <c r="T13" s="30">
        <v>1</v>
      </c>
      <c r="U13" s="30">
        <v>2</v>
      </c>
      <c r="V13" s="30">
        <v>10</v>
      </c>
      <c r="W13" s="30">
        <v>35</v>
      </c>
      <c r="X13" s="76">
        <f t="shared" si="0"/>
        <v>45</v>
      </c>
    </row>
    <row r="14" spans="1:24" ht="16.5" thickBot="1">
      <c r="A14" s="89" t="s">
        <v>171</v>
      </c>
      <c r="B14" s="90"/>
      <c r="C14" s="122">
        <f>SUM(B15:B17)</f>
        <v>0</v>
      </c>
      <c r="D14" s="1"/>
      <c r="E14" s="2"/>
      <c r="F14" s="2"/>
      <c r="G14" s="5"/>
      <c r="H14" s="2"/>
      <c r="I14" s="1"/>
      <c r="J14" s="2"/>
      <c r="K14" s="2"/>
      <c r="L14" s="5"/>
      <c r="P14" s="202" t="str">
        <f>IF('V8 Calculator'!F21="Y",IF('V8 Calculator'!H21&lt;=T14,T5,IF('V8 Calculator'!H21&lt;=U14,U5,IF('V8 Calculator'!H21&lt;=V14,V5,IF('V8 Calculator'!H21&lt;=W14,W5,X5)))),"Not Selected  ")</f>
        <v xml:space="preserve">Not Selected  </v>
      </c>
      <c r="Q14" s="130" t="s">
        <v>18</v>
      </c>
      <c r="R14" s="36" t="s">
        <v>2</v>
      </c>
      <c r="S14" s="176">
        <v>0</v>
      </c>
      <c r="T14" s="37">
        <v>1</v>
      </c>
      <c r="U14" s="37">
        <v>4</v>
      </c>
      <c r="V14" s="38">
        <v>8</v>
      </c>
      <c r="W14" s="38">
        <v>16</v>
      </c>
      <c r="X14" s="77">
        <f t="shared" si="0"/>
        <v>24</v>
      </c>
    </row>
    <row r="15" spans="1:24">
      <c r="A15" s="6" t="s">
        <v>97</v>
      </c>
      <c r="B15">
        <f>'V8 Calculator'!H30</f>
        <v>0</v>
      </c>
      <c r="C15" s="110"/>
      <c r="D15" s="117">
        <f>ROUNDUP(B6*C14,0)</f>
        <v>0</v>
      </c>
      <c r="E15" s="108">
        <f>B7*C14</f>
        <v>0</v>
      </c>
      <c r="F15" s="118">
        <v>0</v>
      </c>
      <c r="G15" s="119">
        <v>0</v>
      </c>
      <c r="I15" s="6"/>
      <c r="L15" s="7"/>
      <c r="P15" s="574" t="str">
        <f>IF('V8 Calculator'!F22="Y",IF('V8 Calculator'!H22&lt;=T15,T5,IF('V8 Calculator'!H22&lt;=U15,U5,IF('V8 Calculator'!H22&lt;=V15,V5,IF('V8 Calculator'!H22&lt;=W15,W5,X5)))),"Not Selected  ")</f>
        <v xml:space="preserve">Not Selected  </v>
      </c>
      <c r="Q15" s="578" t="s">
        <v>78</v>
      </c>
      <c r="R15" s="171" t="s">
        <v>2</v>
      </c>
      <c r="S15" s="177">
        <v>0</v>
      </c>
      <c r="T15" s="26">
        <v>2</v>
      </c>
      <c r="U15" s="26">
        <v>3</v>
      </c>
      <c r="V15" s="27">
        <v>10</v>
      </c>
      <c r="W15" s="27">
        <v>30</v>
      </c>
      <c r="X15" s="73">
        <f t="shared" si="0"/>
        <v>40</v>
      </c>
    </row>
    <row r="16" spans="1:24" ht="16.5" thickBot="1">
      <c r="A16" s="6" t="s">
        <v>98</v>
      </c>
      <c r="B16">
        <f>'V8 Calculator'!I30</f>
        <v>0</v>
      </c>
      <c r="C16" s="110"/>
      <c r="D16" s="6"/>
      <c r="G16" s="7"/>
      <c r="I16" s="6"/>
      <c r="L16" s="7"/>
      <c r="P16" s="575"/>
      <c r="Q16" s="579"/>
      <c r="R16" s="220" t="s">
        <v>80</v>
      </c>
      <c r="S16" s="209">
        <v>0</v>
      </c>
      <c r="T16" s="210">
        <v>50000</v>
      </c>
      <c r="U16" s="211">
        <v>100000</v>
      </c>
      <c r="V16" s="211">
        <v>600000</v>
      </c>
      <c r="W16" s="210">
        <v>1000000</v>
      </c>
      <c r="X16" s="221">
        <f t="shared" si="0"/>
        <v>1600000</v>
      </c>
    </row>
    <row r="17" spans="1:24" ht="16.5" thickBot="1">
      <c r="A17" s="9" t="s">
        <v>169</v>
      </c>
      <c r="B17" s="8">
        <f>'V8 Calculator'!J30</f>
        <v>0</v>
      </c>
      <c r="C17" s="111"/>
      <c r="D17" s="9"/>
      <c r="E17" s="8"/>
      <c r="F17" s="8"/>
      <c r="G17" s="10"/>
      <c r="H17" s="8"/>
      <c r="I17" s="9"/>
      <c r="J17" s="8"/>
      <c r="K17" s="8"/>
      <c r="L17" s="10"/>
      <c r="P17" s="576"/>
      <c r="Q17" s="581" t="s">
        <v>79</v>
      </c>
      <c r="R17" s="203" t="s">
        <v>83</v>
      </c>
      <c r="S17" s="204">
        <v>0</v>
      </c>
      <c r="T17" s="205">
        <v>50</v>
      </c>
      <c r="U17" s="205">
        <v>250</v>
      </c>
      <c r="V17" s="206">
        <v>2500</v>
      </c>
      <c r="W17" s="206">
        <v>10000</v>
      </c>
      <c r="X17" s="207">
        <f t="shared" si="0"/>
        <v>12500</v>
      </c>
    </row>
    <row r="18" spans="1:24" ht="16.5" thickBot="1">
      <c r="A18" s="1" t="s">
        <v>110</v>
      </c>
      <c r="B18" s="134">
        <f>'V8 Calculator'!J16</f>
        <v>5</v>
      </c>
      <c r="P18" s="577"/>
      <c r="Q18" s="582"/>
      <c r="R18" s="208" t="s">
        <v>7</v>
      </c>
      <c r="S18" s="209">
        <v>0</v>
      </c>
      <c r="T18" s="210">
        <v>1000</v>
      </c>
      <c r="U18" s="211">
        <v>5000</v>
      </c>
      <c r="V18" s="211">
        <v>50000</v>
      </c>
      <c r="W18" s="210">
        <v>200000</v>
      </c>
      <c r="X18" s="212">
        <f t="shared" si="0"/>
        <v>250000</v>
      </c>
    </row>
    <row r="19" spans="1:24" ht="15.75" customHeight="1">
      <c r="A19" s="6" t="s">
        <v>131</v>
      </c>
      <c r="B19" s="135">
        <f>IF(B3="N",0,'V8 Calculator'!H16)</f>
        <v>1</v>
      </c>
      <c r="P19" s="574" t="str">
        <f>IF('V8 Calculator'!F20="Y",IF('V8 Calculator'!H20&lt;=T20,T5,IF('V8 Calculator'!H20&lt;=U20,U5,IF('V8 Calculator'!H20&lt;=V20,V5,IF('V8 Calculator'!H20&lt;=W20,W5,X5)))),"Not Selected  ")</f>
        <v xml:space="preserve">Not Selected  </v>
      </c>
      <c r="Q19" s="583" t="s">
        <v>84</v>
      </c>
      <c r="R19" s="172" t="s">
        <v>2</v>
      </c>
      <c r="S19" s="177" t="s">
        <v>86</v>
      </c>
      <c r="T19" s="26" t="s">
        <v>86</v>
      </c>
      <c r="U19" s="26" t="s">
        <v>86</v>
      </c>
      <c r="V19" s="27" t="s">
        <v>86</v>
      </c>
      <c r="W19" s="27" t="s">
        <v>86</v>
      </c>
      <c r="X19" s="73" t="s">
        <v>86</v>
      </c>
    </row>
    <row r="20" spans="1:24" ht="16.5" thickBot="1">
      <c r="A20" s="6" t="s">
        <v>111</v>
      </c>
      <c r="B20" s="135">
        <f>'V8 Calculator'!J17</f>
        <v>0</v>
      </c>
      <c r="P20" s="575"/>
      <c r="Q20" s="584"/>
      <c r="R20" s="69" t="s">
        <v>85</v>
      </c>
      <c r="S20" s="179">
        <v>0</v>
      </c>
      <c r="T20" s="30">
        <v>5</v>
      </c>
      <c r="U20" s="29">
        <v>10</v>
      </c>
      <c r="V20" s="29">
        <v>30</v>
      </c>
      <c r="W20" s="30">
        <v>50</v>
      </c>
      <c r="X20" s="101">
        <v>80</v>
      </c>
    </row>
    <row r="21" spans="1:24" ht="16.5" thickBot="1">
      <c r="A21" s="6" t="s">
        <v>130</v>
      </c>
      <c r="B21" s="135">
        <f>B20*L45</f>
        <v>0</v>
      </c>
      <c r="P21" s="213" t="str">
        <f>IF('V8 Calculator'!F23="Y",IF('V8 Calculator'!H23&lt;=T21,T5,IF('V8 Calculator'!H23&lt;=U21,U5,IF('V8 Calculator'!H23&lt;=V21,V5,IF('V8 Calculator'!H23&lt;=W21,W5,X5)))),"Not Selected  ")</f>
        <v xml:space="preserve">Not Selected  </v>
      </c>
      <c r="Q21" s="214" t="s">
        <v>91</v>
      </c>
      <c r="R21" s="215" t="s">
        <v>2</v>
      </c>
      <c r="S21" s="216">
        <v>0</v>
      </c>
      <c r="T21" s="217">
        <v>50</v>
      </c>
      <c r="U21" s="217">
        <v>100</v>
      </c>
      <c r="V21" s="218">
        <v>250</v>
      </c>
      <c r="W21" s="218">
        <v>500</v>
      </c>
      <c r="X21" s="219">
        <f>W21+V21</f>
        <v>750</v>
      </c>
    </row>
    <row r="22" spans="1:24" ht="16.5" thickBot="1">
      <c r="A22" s="6" t="s">
        <v>112</v>
      </c>
      <c r="B22" s="133"/>
      <c r="T22">
        <v>1</v>
      </c>
      <c r="U22">
        <v>2</v>
      </c>
      <c r="V22">
        <v>3</v>
      </c>
      <c r="W22">
        <v>4</v>
      </c>
      <c r="X22">
        <v>5</v>
      </c>
    </row>
    <row r="23" spans="1:24" ht="16.5" thickBot="1">
      <c r="A23" s="62" t="s">
        <v>139</v>
      </c>
      <c r="B23" s="121">
        <f>IF(AND(B3="Y",B4="N"),MAX($C$5,$H$5),MAX($C$5,$H$5,$C$7))</f>
        <v>1</v>
      </c>
    </row>
    <row r="24" spans="1:24" ht="16.5" thickBot="1">
      <c r="A24" s="1" t="s">
        <v>198</v>
      </c>
      <c r="B24" s="336" t="str">
        <f>IF(AND($B$3="N",$B$4="N"),"Not Selected  ",IF($B$23&lt;=2,"Xsmall/Min  ",IF($B$23&lt;=4,"Small  ",IF($B$23&lt;=10,"Medium  ",IF($B$23&lt;=15,"Large  ","Beyond Large  ")))))</f>
        <v xml:space="preserve">Xsmall/Min  </v>
      </c>
    </row>
    <row r="25" spans="1:24">
      <c r="A25" s="585" t="s">
        <v>238</v>
      </c>
      <c r="B25" s="337" t="str">
        <f>'V8 Calculator'!F5</f>
        <v>N</v>
      </c>
      <c r="C25" s="338" t="s">
        <v>237</v>
      </c>
      <c r="D25" s="337" t="s">
        <v>186</v>
      </c>
      <c r="E25" s="337" t="s">
        <v>13</v>
      </c>
      <c r="F25" s="335" t="s">
        <v>17</v>
      </c>
    </row>
    <row r="26" spans="1:24" ht="16.5" thickBot="1">
      <c r="A26" s="586"/>
      <c r="B26" s="339" t="str">
        <f>'V8 Calculator'!F6</f>
        <v>N</v>
      </c>
      <c r="C26" s="340">
        <f>IF(B26="Y",0,IF(B25="N",1,3))</f>
        <v>1</v>
      </c>
      <c r="D26" s="339">
        <f>C26*B135</f>
        <v>4</v>
      </c>
      <c r="E26" s="339">
        <f>C26*C135</f>
        <v>16</v>
      </c>
      <c r="F26" s="341">
        <f>C26*D137</f>
        <v>120</v>
      </c>
    </row>
    <row r="27" spans="1:24" ht="16.5" thickBot="1"/>
    <row r="28" spans="1:24" ht="16.5" thickBot="1">
      <c r="A28" t="s">
        <v>100</v>
      </c>
      <c r="B28" t="s">
        <v>186</v>
      </c>
      <c r="C28" t="s">
        <v>189</v>
      </c>
      <c r="D28" t="s">
        <v>190</v>
      </c>
      <c r="E28" t="s">
        <v>194</v>
      </c>
      <c r="F28" t="s">
        <v>14</v>
      </c>
      <c r="G28" t="s">
        <v>125</v>
      </c>
      <c r="J28" s="589" t="s">
        <v>103</v>
      </c>
      <c r="K28" s="590"/>
      <c r="L28" s="590"/>
      <c r="M28" s="590"/>
      <c r="N28" s="590"/>
      <c r="O28" s="590"/>
      <c r="P28" s="590"/>
      <c r="Q28" s="589" t="s">
        <v>148</v>
      </c>
      <c r="R28" s="590"/>
      <c r="S28" s="591"/>
    </row>
    <row r="29" spans="1:24" ht="16.5" thickBot="1">
      <c r="A29" s="1" t="str">
        <f>$Q$6&amp;" - "&amp;$S$5</f>
        <v xml:space="preserve">Manage - Dev  </v>
      </c>
      <c r="B29" s="131">
        <v>2</v>
      </c>
      <c r="C29" s="132">
        <v>10</v>
      </c>
      <c r="D29" s="145">
        <v>0</v>
      </c>
      <c r="E29" s="152">
        <v>256</v>
      </c>
      <c r="F29" s="40"/>
      <c r="G29" s="109" t="s">
        <v>115</v>
      </c>
      <c r="J29" s="6" t="s">
        <v>100</v>
      </c>
      <c r="L29" t="s">
        <v>89</v>
      </c>
      <c r="M29" s="112" t="s">
        <v>2</v>
      </c>
      <c r="N29" s="112" t="s">
        <v>104</v>
      </c>
      <c r="O29" s="112" t="s">
        <v>20</v>
      </c>
      <c r="P29" s="121" t="s">
        <v>106</v>
      </c>
      <c r="Q29" s="1" t="s">
        <v>26</v>
      </c>
      <c r="R29" s="109">
        <v>0</v>
      </c>
      <c r="S29" s="5" t="s">
        <v>26</v>
      </c>
    </row>
    <row r="30" spans="1:24">
      <c r="A30" s="6" t="str">
        <f>$Q$6&amp;" - Calculated  "</f>
        <v xml:space="preserve">Manage - Calculated  </v>
      </c>
      <c r="B30" s="158">
        <f>MAX(D6,I6)</f>
        <v>2</v>
      </c>
      <c r="C30" s="159">
        <f>MAX(E6,J6)</f>
        <v>10</v>
      </c>
      <c r="D30" s="160">
        <f>MAX(F6,K6)</f>
        <v>0</v>
      </c>
      <c r="E30" s="161">
        <f>MAX($G$6,$L$6)</f>
        <v>259.5</v>
      </c>
      <c r="F30" s="41"/>
      <c r="G30" s="110" t="s">
        <v>116</v>
      </c>
      <c r="J30" s="1" t="str">
        <f>$Q$6&amp;$T$5</f>
        <v xml:space="preserve">ManageXsmall/Min  </v>
      </c>
      <c r="K30" s="5"/>
      <c r="L30" s="5">
        <v>256</v>
      </c>
      <c r="M30">
        <v>50</v>
      </c>
      <c r="N30">
        <f>ROUND(L30/M30,2)</f>
        <v>5.12</v>
      </c>
      <c r="Q30" s="6" t="s">
        <v>141</v>
      </c>
      <c r="R30" s="110">
        <v>1</v>
      </c>
      <c r="S30" s="7" t="s">
        <v>141</v>
      </c>
    </row>
    <row r="31" spans="1:24">
      <c r="A31" s="6" t="str">
        <f>$Q$9&amp;" - "&amp;$S$5</f>
        <v xml:space="preserve">Health - Dev  </v>
      </c>
      <c r="B31" s="146">
        <v>2</v>
      </c>
      <c r="C31" s="147">
        <v>10</v>
      </c>
      <c r="D31" s="148">
        <v>0</v>
      </c>
      <c r="E31" s="153">
        <v>256</v>
      </c>
      <c r="F31" s="41"/>
      <c r="G31" s="110" t="s">
        <v>63</v>
      </c>
      <c r="J31" s="6" t="str">
        <f>$Q$6&amp;$U$5</f>
        <v xml:space="preserve">ManageSmall  </v>
      </c>
      <c r="K31" s="7"/>
      <c r="L31" s="7">
        <v>512</v>
      </c>
      <c r="M31">
        <v>100</v>
      </c>
      <c r="N31">
        <f t="shared" ref="N31:N34" si="1">ROUND(L31/M31,2)</f>
        <v>5.12</v>
      </c>
      <c r="Q31" s="6" t="s">
        <v>142</v>
      </c>
      <c r="R31" s="110">
        <v>2</v>
      </c>
      <c r="S31" s="7" t="s">
        <v>142</v>
      </c>
    </row>
    <row r="32" spans="1:24" ht="16.5" thickBot="1">
      <c r="A32" s="9" t="str">
        <f>$Q$9&amp;" - Calculated  "</f>
        <v xml:space="preserve">Health - Calculated  </v>
      </c>
      <c r="B32" s="162">
        <f>MAX(D8,I8)</f>
        <v>0</v>
      </c>
      <c r="C32" s="163">
        <f>MAX(E8,J8)</f>
        <v>0</v>
      </c>
      <c r="D32" s="164">
        <f>MAX(F8,K8)</f>
        <v>0</v>
      </c>
      <c r="E32" s="165">
        <f>MAX(G8,L8)</f>
        <v>0</v>
      </c>
      <c r="F32" s="41"/>
      <c r="G32" s="111" t="s">
        <v>170</v>
      </c>
      <c r="J32" s="6" t="str">
        <f>$Q$6&amp;$V$5</f>
        <v xml:space="preserve">ManageMedium  </v>
      </c>
      <c r="K32" s="7"/>
      <c r="L32" s="7">
        <v>1200</v>
      </c>
      <c r="M32">
        <v>250</v>
      </c>
      <c r="N32">
        <f t="shared" si="1"/>
        <v>4.8</v>
      </c>
      <c r="Q32" s="6" t="s">
        <v>143</v>
      </c>
      <c r="R32" s="110">
        <v>3</v>
      </c>
      <c r="S32" s="7" t="s">
        <v>143</v>
      </c>
    </row>
    <row r="33" spans="1:19">
      <c r="A33" s="1" t="str">
        <f>$Q$7&amp;" - "&amp;$S$5</f>
        <v xml:space="preserve">Monitor - Dev  </v>
      </c>
      <c r="B33" s="126">
        <v>10</v>
      </c>
      <c r="C33" s="127">
        <v>33</v>
      </c>
      <c r="D33" s="123"/>
      <c r="E33" s="124"/>
      <c r="F33" s="41"/>
      <c r="G33" s="109" t="s">
        <v>115</v>
      </c>
      <c r="J33" s="6" t="str">
        <f>$Q$6&amp;$W$5</f>
        <v xml:space="preserve">ManageLarge  </v>
      </c>
      <c r="K33" s="7"/>
      <c r="L33" s="7">
        <v>2800</v>
      </c>
      <c r="M33">
        <v>500</v>
      </c>
      <c r="N33">
        <f t="shared" si="1"/>
        <v>5.6</v>
      </c>
      <c r="Q33" s="6" t="s">
        <v>144</v>
      </c>
      <c r="R33" s="110">
        <v>4</v>
      </c>
      <c r="S33" s="7" t="s">
        <v>144</v>
      </c>
    </row>
    <row r="34" spans="1:19" ht="16.5" thickBot="1">
      <c r="A34" s="6" t="str">
        <f>$Q$7&amp;" - "&amp;$T$5</f>
        <v xml:space="preserve">Monitor - Xsmall/Min  </v>
      </c>
      <c r="B34" s="55">
        <v>17</v>
      </c>
      <c r="C34" s="108">
        <v>33</v>
      </c>
      <c r="D34" s="118"/>
      <c r="E34" s="119"/>
      <c r="F34" s="41"/>
      <c r="G34" s="110" t="s">
        <v>116</v>
      </c>
      <c r="J34" s="9" t="str">
        <f>$Q$6&amp;$X$5</f>
        <v xml:space="preserve">ManageBeyond Large  </v>
      </c>
      <c r="K34" s="10"/>
      <c r="L34" s="7">
        <f>L32+L33</f>
        <v>4000</v>
      </c>
      <c r="M34">
        <v>750</v>
      </c>
      <c r="N34">
        <f t="shared" si="1"/>
        <v>5.33</v>
      </c>
      <c r="Q34" s="9" t="s">
        <v>145</v>
      </c>
      <c r="R34" s="111">
        <v>5</v>
      </c>
      <c r="S34" s="10" t="s">
        <v>145</v>
      </c>
    </row>
    <row r="35" spans="1:19" ht="16.5" thickBot="1">
      <c r="A35" s="6" t="str">
        <f>$Q$7&amp;" - "&amp;$U$5</f>
        <v xml:space="preserve">Monitor - Small  </v>
      </c>
      <c r="B35" s="55">
        <v>17</v>
      </c>
      <c r="C35" s="108">
        <v>72</v>
      </c>
      <c r="D35" s="118"/>
      <c r="E35" s="119"/>
      <c r="F35" s="41"/>
      <c r="G35" s="110" t="s">
        <v>63</v>
      </c>
      <c r="J35" s="593" t="s">
        <v>132</v>
      </c>
      <c r="K35" s="594"/>
      <c r="L35" s="594"/>
      <c r="M35" s="594"/>
      <c r="N35" s="120">
        <f>ROUND(AVERAGE(N30:N34),2)</f>
        <v>5.19</v>
      </c>
      <c r="O35" s="120"/>
      <c r="P35" s="120"/>
      <c r="Q35" s="109">
        <f>IF(ISERROR(VLOOKUP(B24,Q29:R34,2,FALSE)),"",VLOOKUP(B24,Q29:R34,2,FALSE))</f>
        <v>1</v>
      </c>
      <c r="R35" s="112">
        <f>IF(MAX(Q35:Q42)=0,-1,MAX(Q35:Q42))</f>
        <v>1</v>
      </c>
      <c r="S35" s="226" t="str">
        <f>IF(ISERROR(VLOOKUP($R$35,$R$29:$S$34,2,FALSE)),"Not Selected  ",VLOOKUP($R$35,$R$29:$S$34,2,FALSE))</f>
        <v xml:space="preserve">Xsmall/Min  </v>
      </c>
    </row>
    <row r="36" spans="1:19">
      <c r="A36" s="6" t="str">
        <f>$Q$7&amp;" - "&amp;$V$5</f>
        <v xml:space="preserve">Monitor - Medium  </v>
      </c>
      <c r="B36" s="55">
        <v>28.5</v>
      </c>
      <c r="C36" s="108">
        <v>101</v>
      </c>
      <c r="D36" s="118"/>
      <c r="E36" s="119"/>
      <c r="F36" s="41"/>
      <c r="G36" s="110" t="s">
        <v>119</v>
      </c>
      <c r="J36" s="1" t="str">
        <f>$Q$9&amp;$T$5</f>
        <v xml:space="preserve">HealthXsmall/Min  </v>
      </c>
      <c r="K36" s="5"/>
      <c r="L36" s="7">
        <v>256</v>
      </c>
      <c r="M36">
        <v>1</v>
      </c>
      <c r="N36">
        <f>ROUND(L36/M36,2)</f>
        <v>256</v>
      </c>
      <c r="O36">
        <v>500</v>
      </c>
      <c r="P36">
        <f>ROUND(L36/O36,2)</f>
        <v>0.51</v>
      </c>
      <c r="Q36" s="110" t="str">
        <f>IF(ISERROR(VLOOKUP(P7,$Q$29:$R$34,2,FALSE)),"",VLOOKUP(P7,$Q$29:$R$34,2,FALSE))</f>
        <v/>
      </c>
      <c r="S36" s="7"/>
    </row>
    <row r="37" spans="1:19">
      <c r="A37" s="6" t="str">
        <f>$Q$7&amp;" - "&amp;$W$5</f>
        <v xml:space="preserve">Monitor - Large  </v>
      </c>
      <c r="B37" s="55">
        <v>45</v>
      </c>
      <c r="C37" s="108">
        <v>150</v>
      </c>
      <c r="D37" s="118"/>
      <c r="E37" s="119"/>
      <c r="F37" s="41"/>
      <c r="G37" s="110" t="s">
        <v>22</v>
      </c>
      <c r="J37" s="6" t="str">
        <f>$Q$9&amp;$U$5</f>
        <v xml:space="preserve">HealthSmall  </v>
      </c>
      <c r="K37" s="7"/>
      <c r="L37" s="7">
        <v>512</v>
      </c>
      <c r="M37">
        <v>5</v>
      </c>
      <c r="N37">
        <f t="shared" ref="N37:N40" si="2">ROUND(L37/M37,2)</f>
        <v>102.4</v>
      </c>
      <c r="O37">
        <v>3000</v>
      </c>
      <c r="P37">
        <f t="shared" ref="P37:P40" si="3">ROUND(L37/O37,2)</f>
        <v>0.17</v>
      </c>
      <c r="Q37" s="110">
        <f>IF(ISERROR(VLOOKUP(P9,$Q$29:$R$34,2,FALSE)),"",VLOOKUP(P9,$Q$29:$R$34,2,FALSE))</f>
        <v>1</v>
      </c>
      <c r="S37" s="7"/>
    </row>
    <row r="38" spans="1:19" ht="16.5" thickBot="1">
      <c r="A38" s="9" t="str">
        <f>$Q$7&amp;" - "&amp;$X$5</f>
        <v xml:space="preserve">Monitor - Beyond Large  </v>
      </c>
      <c r="B38" s="128">
        <f>B36+B37</f>
        <v>73.5</v>
      </c>
      <c r="C38" s="114">
        <f>C36+C37</f>
        <v>251</v>
      </c>
      <c r="D38" s="115"/>
      <c r="E38" s="116"/>
      <c r="F38" s="41"/>
      <c r="G38" s="111"/>
      <c r="J38" s="6" t="str">
        <f>$Q$9&amp;$V$5</f>
        <v xml:space="preserve">HealthMedium  </v>
      </c>
      <c r="K38" s="7"/>
      <c r="L38" s="7">
        <v>1200</v>
      </c>
      <c r="M38">
        <v>15</v>
      </c>
      <c r="N38">
        <f t="shared" si="2"/>
        <v>80</v>
      </c>
      <c r="O38">
        <v>20000</v>
      </c>
      <c r="P38">
        <f t="shared" si="3"/>
        <v>0.06</v>
      </c>
      <c r="Q38" s="110" t="str">
        <f>IF(ISERROR(VLOOKUP(P11,$Q$29:$R$34,2,FALSE)),"",VLOOKUP(P11,$Q$29:$R$34,2,FALSE))</f>
        <v/>
      </c>
      <c r="S38" s="7"/>
    </row>
    <row r="39" spans="1:19">
      <c r="A39" s="1" t="str">
        <f>$Q$11&amp;" - "&amp;$S$5</f>
        <v xml:space="preserve">Predict - Dev  </v>
      </c>
      <c r="B39" s="126">
        <v>2</v>
      </c>
      <c r="C39" s="127">
        <v>0</v>
      </c>
      <c r="D39" s="123">
        <v>512</v>
      </c>
      <c r="E39" s="124">
        <v>0</v>
      </c>
      <c r="F39" s="41"/>
      <c r="G39" s="109" t="s">
        <v>115</v>
      </c>
      <c r="J39" s="6" t="str">
        <f>$Q$9&amp;$W$5</f>
        <v xml:space="preserve">HealthLarge  </v>
      </c>
      <c r="K39" s="7"/>
      <c r="L39" s="7">
        <v>2800</v>
      </c>
      <c r="M39">
        <v>35</v>
      </c>
      <c r="N39">
        <f t="shared" si="2"/>
        <v>80</v>
      </c>
      <c r="O39">
        <v>50000</v>
      </c>
      <c r="P39">
        <f t="shared" si="3"/>
        <v>0.06</v>
      </c>
      <c r="Q39" s="110" t="str">
        <f>IF(ISERROR(VLOOKUP(P14,$Q$29:$R$34,2,FALSE)),"",VLOOKUP(P14,$Q$29:$R$34,2,FALSE))</f>
        <v/>
      </c>
      <c r="S39" s="7"/>
    </row>
    <row r="40" spans="1:19" ht="16.5" thickBot="1">
      <c r="A40" s="6" t="str">
        <f>$Q$11&amp;" - "&amp;$T$5</f>
        <v xml:space="preserve">Predict - Xsmall/Min  </v>
      </c>
      <c r="B40" s="55">
        <v>2</v>
      </c>
      <c r="C40" s="108">
        <v>0</v>
      </c>
      <c r="D40" s="118">
        <v>512</v>
      </c>
      <c r="E40" s="119">
        <v>0</v>
      </c>
      <c r="F40" s="41"/>
      <c r="G40" s="110" t="s">
        <v>63</v>
      </c>
      <c r="J40" s="9" t="str">
        <f>$Q$9&amp;$X$5</f>
        <v xml:space="preserve">HealthBeyond Large  </v>
      </c>
      <c r="K40" s="10"/>
      <c r="L40" s="7">
        <f>L39+L38</f>
        <v>4000</v>
      </c>
      <c r="M40">
        <v>50</v>
      </c>
      <c r="N40">
        <f t="shared" si="2"/>
        <v>80</v>
      </c>
      <c r="O40">
        <f>O39+O38</f>
        <v>70000</v>
      </c>
      <c r="P40">
        <f t="shared" si="3"/>
        <v>0.06</v>
      </c>
      <c r="Q40" s="110" t="str">
        <f>IF(ISERROR(VLOOKUP(P15,$Q$29:$R$34,2,FALSE)),"",VLOOKUP(P15,$Q$29:$R$34,2,FALSE))</f>
        <v/>
      </c>
      <c r="S40" s="7"/>
    </row>
    <row r="41" spans="1:19" ht="16.5" thickBot="1">
      <c r="A41" s="6" t="str">
        <f>$Q$11&amp;" - "&amp;$U$5</f>
        <v xml:space="preserve">Predict - Small  </v>
      </c>
      <c r="B41" s="55">
        <v>2</v>
      </c>
      <c r="C41" s="108">
        <v>0</v>
      </c>
      <c r="D41" s="118">
        <v>1024</v>
      </c>
      <c r="E41" s="119">
        <v>0</v>
      </c>
      <c r="F41" s="41"/>
      <c r="G41" s="110" t="s">
        <v>118</v>
      </c>
      <c r="J41" s="593" t="s">
        <v>105</v>
      </c>
      <c r="K41" s="594"/>
      <c r="L41" s="594"/>
      <c r="M41" s="594"/>
      <c r="N41" s="120">
        <f>ROUND(AVERAGE(N36:N40),2)</f>
        <v>119.68</v>
      </c>
      <c r="O41" s="120"/>
      <c r="P41" s="120">
        <f>ROUND(AVERAGE(P36:P40),2)</f>
        <v>0.17</v>
      </c>
      <c r="Q41" s="110" t="str">
        <f>IF(ISERROR(VLOOKUP(P19,$Q$29:$R$34,2,FALSE)),"",VLOOKUP(P19,$Q$29:$R$34,2,FALSE))</f>
        <v/>
      </c>
      <c r="S41" s="7"/>
    </row>
    <row r="42" spans="1:19" ht="16.5" thickBot="1">
      <c r="A42" s="6" t="str">
        <f>$Q$11&amp;" - "&amp;$V$5</f>
        <v xml:space="preserve">Predict - Medium  </v>
      </c>
      <c r="B42" s="55">
        <v>2</v>
      </c>
      <c r="C42" s="108">
        <v>0</v>
      </c>
      <c r="D42" s="118">
        <v>2048</v>
      </c>
      <c r="E42" s="119">
        <v>0</v>
      </c>
      <c r="F42" s="41"/>
      <c r="G42" s="110" t="s">
        <v>101</v>
      </c>
      <c r="Q42" s="111" t="str">
        <f>IF(ISERROR(VLOOKUP(P21,$Q$29:$R$34,2,FALSE)),"",VLOOKUP(P21,$Q$29:$R$34,2,FALSE))</f>
        <v/>
      </c>
      <c r="R42" s="8"/>
      <c r="S42" s="10"/>
    </row>
    <row r="43" spans="1:19" ht="16.5" thickBot="1">
      <c r="A43" s="6" t="str">
        <f>$Q$11&amp;" - "&amp;$W$5</f>
        <v xml:space="preserve">Predict - Large  </v>
      </c>
      <c r="B43" s="55">
        <v>8</v>
      </c>
      <c r="C43" s="108">
        <v>0</v>
      </c>
      <c r="D43" s="118">
        <v>4915</v>
      </c>
      <c r="E43" s="119">
        <v>0</v>
      </c>
      <c r="F43" s="41"/>
      <c r="G43" s="110"/>
      <c r="J43" s="1"/>
      <c r="K43" s="2"/>
      <c r="L43" s="200" t="s">
        <v>129</v>
      </c>
      <c r="M43" s="5">
        <f>M30/M36</f>
        <v>50</v>
      </c>
    </row>
    <row r="44" spans="1:19" ht="16.5" thickBot="1">
      <c r="A44" s="9" t="str">
        <f>$Q$11&amp;" - "&amp;$X$5</f>
        <v xml:space="preserve">Predict - Beyond Large  </v>
      </c>
      <c r="B44" s="128">
        <f t="shared" ref="B44:D44" si="4">B42+B43</f>
        <v>10</v>
      </c>
      <c r="C44" s="114">
        <f t="shared" si="4"/>
        <v>0</v>
      </c>
      <c r="D44" s="115">
        <f t="shared" si="4"/>
        <v>6963</v>
      </c>
      <c r="E44" s="116">
        <v>0</v>
      </c>
      <c r="F44" s="41"/>
      <c r="G44" s="111"/>
      <c r="J44" s="6"/>
      <c r="L44">
        <f>AVERAGE(M43:M47)</f>
        <v>23.190476190476193</v>
      </c>
      <c r="M44" s="7">
        <f>M31/M37</f>
        <v>20</v>
      </c>
      <c r="Q44" s="589" t="s">
        <v>154</v>
      </c>
      <c r="R44" s="590"/>
      <c r="S44" s="591"/>
    </row>
    <row r="45" spans="1:19">
      <c r="A45" s="1" t="str">
        <f>$Q$14&amp;" - "&amp;$S$5</f>
        <v xml:space="preserve">Visual Inspection - Dev  </v>
      </c>
      <c r="B45" s="126">
        <v>4</v>
      </c>
      <c r="C45" s="127">
        <v>64</v>
      </c>
      <c r="D45" s="123">
        <v>115</v>
      </c>
      <c r="E45" s="124">
        <v>0</v>
      </c>
      <c r="F45" s="155">
        <v>1</v>
      </c>
      <c r="G45" s="109" t="s">
        <v>63</v>
      </c>
      <c r="J45" s="587" t="s">
        <v>168</v>
      </c>
      <c r="K45" s="588"/>
      <c r="L45" s="138">
        <v>25</v>
      </c>
      <c r="M45" s="7">
        <f>M32/M38</f>
        <v>16.666666666666668</v>
      </c>
      <c r="Q45" s="1" t="s">
        <v>26</v>
      </c>
      <c r="R45" s="109">
        <v>0</v>
      </c>
      <c r="S45" s="5" t="s">
        <v>26</v>
      </c>
    </row>
    <row r="46" spans="1:19">
      <c r="A46" s="6" t="str">
        <f>$Q$14&amp;" - "&amp;$T$5</f>
        <v xml:space="preserve">Visual Inspection - Xsmall/Min  </v>
      </c>
      <c r="B46" s="55">
        <v>4</v>
      </c>
      <c r="C46" s="108">
        <v>64</v>
      </c>
      <c r="D46" s="118">
        <v>115</v>
      </c>
      <c r="E46" s="119">
        <v>0</v>
      </c>
      <c r="F46" s="156">
        <v>2</v>
      </c>
      <c r="G46" s="110" t="s">
        <v>114</v>
      </c>
      <c r="J46" s="6"/>
      <c r="M46" s="7">
        <f>M33/M39</f>
        <v>14.285714285714286</v>
      </c>
      <c r="Q46" s="6" t="s">
        <v>141</v>
      </c>
      <c r="R46" s="110">
        <v>1</v>
      </c>
      <c r="S46" s="7" t="s">
        <v>141</v>
      </c>
    </row>
    <row r="47" spans="1:19" ht="16.5" thickBot="1">
      <c r="A47" s="6" t="str">
        <f>$Q$14&amp;" - "&amp;$U$5</f>
        <v xml:space="preserve">Visual Inspection - Small  </v>
      </c>
      <c r="B47" s="55">
        <v>8</v>
      </c>
      <c r="C47" s="108">
        <v>128</v>
      </c>
      <c r="D47" s="118">
        <v>240</v>
      </c>
      <c r="E47" s="119">
        <v>0</v>
      </c>
      <c r="F47" s="156">
        <v>2</v>
      </c>
      <c r="G47" s="110"/>
      <c r="J47" s="9"/>
      <c r="K47" s="8"/>
      <c r="L47" s="8"/>
      <c r="M47" s="10">
        <f>M34/M40</f>
        <v>15</v>
      </c>
      <c r="Q47" s="6" t="s">
        <v>142</v>
      </c>
      <c r="R47" s="110">
        <v>2</v>
      </c>
      <c r="S47" s="7" t="s">
        <v>142</v>
      </c>
    </row>
    <row r="48" spans="1:19">
      <c r="A48" s="6" t="str">
        <f>$Q$14&amp;" - "&amp;$V$5</f>
        <v xml:space="preserve">Visual Inspection - Medium  </v>
      </c>
      <c r="B48" s="55">
        <v>16</v>
      </c>
      <c r="C48" s="108">
        <v>256</v>
      </c>
      <c r="D48" s="118">
        <v>480</v>
      </c>
      <c r="E48" s="119">
        <v>0</v>
      </c>
      <c r="F48" s="156">
        <v>4</v>
      </c>
      <c r="G48" s="110"/>
      <c r="Q48" s="6" t="s">
        <v>143</v>
      </c>
      <c r="R48" s="110">
        <v>3</v>
      </c>
      <c r="S48" s="7" t="s">
        <v>143</v>
      </c>
    </row>
    <row r="49" spans="1:19">
      <c r="A49" s="6" t="str">
        <f>$Q$14&amp;" - "&amp;$W$5</f>
        <v xml:space="preserve">Visual Inspection - Large  </v>
      </c>
      <c r="B49" s="55">
        <v>24</v>
      </c>
      <c r="C49" s="108">
        <v>512</v>
      </c>
      <c r="D49" s="118">
        <v>2048</v>
      </c>
      <c r="E49" s="119">
        <v>0</v>
      </c>
      <c r="F49" s="156">
        <v>8</v>
      </c>
      <c r="G49" s="110"/>
      <c r="Q49" s="6" t="s">
        <v>144</v>
      </c>
      <c r="R49" s="110">
        <v>4</v>
      </c>
      <c r="S49" s="7" t="s">
        <v>144</v>
      </c>
    </row>
    <row r="50" spans="1:19" ht="16.5" thickBot="1">
      <c r="A50" s="9" t="str">
        <f>$Q$14&amp;" - "&amp;$X$5</f>
        <v xml:space="preserve">Visual Inspection - Beyond Large  </v>
      </c>
      <c r="B50" s="128">
        <f t="shared" ref="B50:D50" si="5">B48+B49</f>
        <v>40</v>
      </c>
      <c r="C50" s="114">
        <f t="shared" si="5"/>
        <v>768</v>
      </c>
      <c r="D50" s="115">
        <f t="shared" si="5"/>
        <v>2528</v>
      </c>
      <c r="E50" s="116">
        <v>0</v>
      </c>
      <c r="F50" s="157">
        <v>16</v>
      </c>
      <c r="G50" s="111"/>
      <c r="Q50" s="9" t="s">
        <v>145</v>
      </c>
      <c r="R50" s="111">
        <v>5</v>
      </c>
      <c r="S50" s="10" t="s">
        <v>145</v>
      </c>
    </row>
    <row r="51" spans="1:19" ht="16.5" thickBot="1">
      <c r="A51" s="1" t="str">
        <f>$Q$15&amp;" - "&amp;$S$5</f>
        <v xml:space="preserve">Assist - Dev  </v>
      </c>
      <c r="B51" s="126">
        <v>6</v>
      </c>
      <c r="C51" s="127">
        <v>6</v>
      </c>
      <c r="D51" s="123">
        <v>100</v>
      </c>
      <c r="E51" s="124">
        <v>0</v>
      </c>
      <c r="F51" s="41"/>
      <c r="G51" s="109" t="s">
        <v>115</v>
      </c>
      <c r="Q51" s="109" t="str">
        <f>IF(ISERROR(VLOOKUP(P11,$Q$45:$R$50,2,FALSE)),"",VLOOKUP(P11,$Q$45:$R$50,2,FALSE))</f>
        <v/>
      </c>
      <c r="R51" s="112">
        <f>IF(MAX(Q51:Q52)=0,-1,MAX(Q51:Q52))</f>
        <v>-1</v>
      </c>
      <c r="S51" s="226" t="str">
        <f>IF(ISERROR(VLOOKUP($R$51,$R$45:$S$50,2,FALSE)),"Not Selected  ",VLOOKUP($R$51,$R$45:$S$50,2,FALSE))</f>
        <v xml:space="preserve">Not Selected  </v>
      </c>
    </row>
    <row r="52" spans="1:19" ht="16.5" thickBot="1">
      <c r="A52" s="6" t="str">
        <f>$Q$15&amp;" - "&amp;$T$5</f>
        <v xml:space="preserve">Assist - Xsmall/Min  </v>
      </c>
      <c r="B52" s="55">
        <v>6</v>
      </c>
      <c r="C52" s="108">
        <v>6</v>
      </c>
      <c r="D52" s="118">
        <v>100</v>
      </c>
      <c r="E52" s="119">
        <v>0</v>
      </c>
      <c r="F52" s="41"/>
      <c r="G52" s="110" t="s">
        <v>63</v>
      </c>
      <c r="Q52" s="111" t="str">
        <f>IF(ISERROR(VLOOKUP(P19,$Q$45:$R$50,2,FALSE)),"",VLOOKUP(P19,$Q$45:$R$50,2,FALSE))</f>
        <v/>
      </c>
      <c r="R52" s="8"/>
      <c r="S52" s="10"/>
    </row>
    <row r="53" spans="1:19">
      <c r="A53" s="6" t="str">
        <f>$Q$15&amp;" - "&amp;$U$5</f>
        <v xml:space="preserve">Assist - Small  </v>
      </c>
      <c r="B53" s="55">
        <v>12</v>
      </c>
      <c r="C53" s="108">
        <v>12</v>
      </c>
      <c r="D53" s="118">
        <v>100</v>
      </c>
      <c r="E53" s="119">
        <v>0</v>
      </c>
      <c r="F53" s="41"/>
      <c r="G53" s="110" t="s">
        <v>81</v>
      </c>
    </row>
    <row r="54" spans="1:19">
      <c r="A54" s="6" t="str">
        <f>$Q$15&amp;" - "&amp;$V$5</f>
        <v xml:space="preserve">Assist - Medium  </v>
      </c>
      <c r="B54" s="55">
        <v>18</v>
      </c>
      <c r="C54" s="108">
        <v>18</v>
      </c>
      <c r="D54" s="118">
        <v>150</v>
      </c>
      <c r="E54" s="119">
        <v>0</v>
      </c>
      <c r="F54" s="41"/>
      <c r="G54" s="110" t="s">
        <v>82</v>
      </c>
    </row>
    <row r="55" spans="1:19">
      <c r="A55" s="6" t="str">
        <f>$Q$15&amp;" - "&amp;$W$5</f>
        <v xml:space="preserve">Assist - Large  </v>
      </c>
      <c r="B55" s="55">
        <v>36</v>
      </c>
      <c r="C55" s="108">
        <v>36</v>
      </c>
      <c r="D55" s="118">
        <v>150</v>
      </c>
      <c r="E55" s="119">
        <v>0</v>
      </c>
      <c r="F55" s="41"/>
      <c r="G55" s="110"/>
    </row>
    <row r="56" spans="1:19" ht="16.5" thickBot="1">
      <c r="A56" s="9" t="str">
        <f>$Q$15&amp;" - "&amp;$X$5</f>
        <v xml:space="preserve">Assist - Beyond Large  </v>
      </c>
      <c r="B56" s="128">
        <f t="shared" ref="B56:D56" si="6">B54+B55</f>
        <v>54</v>
      </c>
      <c r="C56" s="114">
        <f t="shared" si="6"/>
        <v>54</v>
      </c>
      <c r="D56" s="115">
        <f t="shared" si="6"/>
        <v>300</v>
      </c>
      <c r="E56" s="116">
        <v>0</v>
      </c>
      <c r="F56" s="41"/>
      <c r="G56" s="111"/>
    </row>
    <row r="57" spans="1:19">
      <c r="A57" s="39" t="str">
        <f>$Q$17&amp;" - "&amp;$S$5</f>
        <v xml:space="preserve">Safety - Dev  </v>
      </c>
      <c r="B57" s="39">
        <v>3</v>
      </c>
      <c r="C57" s="39">
        <v>0</v>
      </c>
      <c r="D57" s="39">
        <v>1</v>
      </c>
      <c r="E57" s="133">
        <v>0</v>
      </c>
      <c r="F57" s="41"/>
      <c r="G57" s="109" t="s">
        <v>115</v>
      </c>
    </row>
    <row r="58" spans="1:19">
      <c r="A58" s="39" t="str">
        <f>$Q$17&amp;" - "&amp;$T$5</f>
        <v xml:space="preserve">Safety - Xsmall/Min  </v>
      </c>
      <c r="B58" s="39">
        <v>3</v>
      </c>
      <c r="C58" s="39">
        <v>0</v>
      </c>
      <c r="D58" s="39">
        <v>1</v>
      </c>
      <c r="E58" s="133">
        <v>0</v>
      </c>
      <c r="F58" s="41"/>
      <c r="G58" s="110" t="s">
        <v>63</v>
      </c>
    </row>
    <row r="59" spans="1:19">
      <c r="A59" s="39" t="str">
        <f>$Q$17&amp;" - "&amp;$U$5</f>
        <v xml:space="preserve">Safety - Small  </v>
      </c>
      <c r="B59" s="39">
        <v>3</v>
      </c>
      <c r="C59" s="39">
        <v>0</v>
      </c>
      <c r="D59" s="39">
        <v>1</v>
      </c>
      <c r="E59" s="133">
        <v>0</v>
      </c>
      <c r="F59" s="41"/>
      <c r="G59" s="110" t="s">
        <v>117</v>
      </c>
    </row>
    <row r="60" spans="1:19">
      <c r="A60" s="39" t="str">
        <f>$Q$17&amp;" - "&amp;$V$5</f>
        <v xml:space="preserve">Safety - Medium  </v>
      </c>
      <c r="B60" s="39">
        <v>5</v>
      </c>
      <c r="C60" s="39">
        <v>0</v>
      </c>
      <c r="D60" s="39">
        <v>5</v>
      </c>
      <c r="E60" s="133">
        <v>0</v>
      </c>
      <c r="F60" s="41"/>
      <c r="G60" s="110"/>
    </row>
    <row r="61" spans="1:19">
      <c r="A61" s="39" t="str">
        <f>$Q$17&amp;" - "&amp;$W$5</f>
        <v xml:space="preserve">Safety - Large  </v>
      </c>
      <c r="B61" s="39">
        <v>10</v>
      </c>
      <c r="C61" s="39">
        <v>0</v>
      </c>
      <c r="D61" s="39">
        <v>50</v>
      </c>
      <c r="E61" s="133">
        <v>0</v>
      </c>
      <c r="F61" s="41"/>
      <c r="G61" s="110"/>
    </row>
    <row r="62" spans="1:19" ht="16.5" thickBot="1">
      <c r="A62" s="39" t="str">
        <f>$Q$17&amp;" - "&amp;$X$5</f>
        <v xml:space="preserve">Safety - Beyond Large  </v>
      </c>
      <c r="B62" s="39">
        <f t="shared" ref="B62:D62" si="7">B60+B61</f>
        <v>15</v>
      </c>
      <c r="C62" s="39">
        <f t="shared" si="7"/>
        <v>0</v>
      </c>
      <c r="D62" s="39">
        <f t="shared" si="7"/>
        <v>55</v>
      </c>
      <c r="E62" s="133">
        <v>0</v>
      </c>
      <c r="F62" s="41"/>
      <c r="G62" s="111"/>
    </row>
    <row r="63" spans="1:19">
      <c r="A63" s="1" t="str">
        <f>$Q$19&amp;" - "&amp;$S$5</f>
        <v xml:space="preserve">H &amp; P - Utilities - Dev  </v>
      </c>
      <c r="B63" s="126">
        <v>2</v>
      </c>
      <c r="C63" s="127">
        <v>2</v>
      </c>
      <c r="D63" s="123">
        <v>1024</v>
      </c>
      <c r="E63" s="124">
        <v>0</v>
      </c>
      <c r="F63" s="41"/>
      <c r="G63" s="109" t="s">
        <v>115</v>
      </c>
    </row>
    <row r="64" spans="1:19">
      <c r="A64" s="6" t="str">
        <f>$Q$19&amp;" - "&amp;$T$5</f>
        <v xml:space="preserve">H &amp; P - Utilities - Xsmall/Min  </v>
      </c>
      <c r="B64" s="55">
        <v>2</v>
      </c>
      <c r="C64" s="108">
        <v>2</v>
      </c>
      <c r="D64" s="118">
        <v>1024</v>
      </c>
      <c r="E64" s="119">
        <v>0</v>
      </c>
      <c r="F64" s="41"/>
      <c r="G64" s="110" t="s">
        <v>126</v>
      </c>
    </row>
    <row r="65" spans="1:10">
      <c r="A65" s="6" t="str">
        <f>$Q$19&amp;" - "&amp;$U$5</f>
        <v xml:space="preserve">H &amp; P - Utilities - Small  </v>
      </c>
      <c r="B65" s="55">
        <v>3</v>
      </c>
      <c r="C65" s="108">
        <v>5</v>
      </c>
      <c r="D65" s="118">
        <v>1024</v>
      </c>
      <c r="E65" s="119">
        <v>0</v>
      </c>
      <c r="F65" s="41"/>
      <c r="G65" s="110" t="s">
        <v>63</v>
      </c>
    </row>
    <row r="66" spans="1:10">
      <c r="A66" s="6" t="str">
        <f>$Q$19&amp;" - "&amp;$V$5</f>
        <v xml:space="preserve">H &amp; P - Utilities - Medium  </v>
      </c>
      <c r="B66" s="55">
        <v>7</v>
      </c>
      <c r="C66" s="108">
        <v>13</v>
      </c>
      <c r="D66" s="118">
        <v>1024</v>
      </c>
      <c r="E66" s="119">
        <v>0</v>
      </c>
      <c r="F66" s="41"/>
      <c r="G66" s="110"/>
    </row>
    <row r="67" spans="1:10">
      <c r="A67" s="6" t="str">
        <f>$Q$19&amp;" - "&amp;$W$5</f>
        <v xml:space="preserve">H &amp; P - Utilities - Large  </v>
      </c>
      <c r="B67" s="55">
        <v>11</v>
      </c>
      <c r="C67" s="108">
        <v>21</v>
      </c>
      <c r="D67" s="118">
        <v>1024</v>
      </c>
      <c r="E67" s="119">
        <v>0</v>
      </c>
      <c r="F67" s="41"/>
      <c r="G67" s="110"/>
    </row>
    <row r="68" spans="1:10" ht="16.5" thickBot="1">
      <c r="A68" s="9" t="str">
        <f>$Q$19&amp;" - "&amp;$X$5</f>
        <v xml:space="preserve">H &amp; P - Utilities - Beyond Large  </v>
      </c>
      <c r="B68" s="128">
        <f t="shared" ref="B68:E68" si="8">B66+B67</f>
        <v>18</v>
      </c>
      <c r="C68" s="114">
        <f t="shared" si="8"/>
        <v>34</v>
      </c>
      <c r="D68" s="115">
        <f t="shared" si="8"/>
        <v>2048</v>
      </c>
      <c r="E68" s="116">
        <f t="shared" si="8"/>
        <v>0</v>
      </c>
      <c r="F68" s="41"/>
      <c r="G68" s="111"/>
    </row>
    <row r="69" spans="1:10">
      <c r="A69" s="1" t="str">
        <f>$Q$21&amp;" - "&amp;$S$5</f>
        <v xml:space="preserve">Optimizer - Dev  </v>
      </c>
      <c r="B69" s="126">
        <v>4</v>
      </c>
      <c r="C69" s="127">
        <v>4</v>
      </c>
      <c r="D69" s="123">
        <v>1</v>
      </c>
      <c r="E69" s="124">
        <v>0</v>
      </c>
      <c r="F69" s="41"/>
      <c r="G69" s="109" t="s">
        <v>63</v>
      </c>
    </row>
    <row r="70" spans="1:10">
      <c r="A70" s="6" t="str">
        <f>$Q$21&amp;" - "&amp;$T$5</f>
        <v xml:space="preserve">Optimizer - Xsmall/Min  </v>
      </c>
      <c r="B70" s="55">
        <v>4</v>
      </c>
      <c r="C70" s="108">
        <v>4</v>
      </c>
      <c r="D70" s="118">
        <v>1</v>
      </c>
      <c r="E70" s="119">
        <v>0</v>
      </c>
      <c r="F70" s="41"/>
      <c r="G70" s="110" t="s">
        <v>114</v>
      </c>
    </row>
    <row r="71" spans="1:10">
      <c r="A71" s="6" t="str">
        <f>$Q$21&amp;" - "&amp;$U$5</f>
        <v xml:space="preserve">Optimizer - Small  </v>
      </c>
      <c r="B71" s="55">
        <v>4</v>
      </c>
      <c r="C71" s="108">
        <v>4</v>
      </c>
      <c r="D71" s="118">
        <v>1</v>
      </c>
      <c r="E71" s="119">
        <v>0</v>
      </c>
      <c r="F71" s="41"/>
      <c r="G71" s="110"/>
    </row>
    <row r="72" spans="1:10">
      <c r="A72" s="6" t="str">
        <f>$Q$21&amp;" - "&amp;$V$5</f>
        <v xml:space="preserve">Optimizer - Medium  </v>
      </c>
      <c r="B72" s="55">
        <v>6</v>
      </c>
      <c r="C72" s="108">
        <v>6</v>
      </c>
      <c r="D72" s="118">
        <v>10</v>
      </c>
      <c r="E72" s="119">
        <v>0</v>
      </c>
      <c r="F72" s="41"/>
      <c r="G72" s="110"/>
    </row>
    <row r="73" spans="1:10">
      <c r="A73" s="6" t="str">
        <f>$Q$21&amp;" - "&amp;$W$5</f>
        <v xml:space="preserve">Optimizer - Large  </v>
      </c>
      <c r="B73" s="55">
        <v>6</v>
      </c>
      <c r="C73" s="108">
        <v>11</v>
      </c>
      <c r="D73" s="118">
        <v>20</v>
      </c>
      <c r="E73" s="119">
        <v>0</v>
      </c>
      <c r="F73" s="41"/>
      <c r="G73" s="110"/>
    </row>
    <row r="74" spans="1:10" ht="16.5" thickBot="1">
      <c r="A74" s="9" t="str">
        <f>$Q$21&amp;" - "&amp;$X$5</f>
        <v xml:space="preserve">Optimizer - Beyond Large  </v>
      </c>
      <c r="B74" s="128">
        <f t="shared" ref="B74:E74" si="9">B72+B73</f>
        <v>12</v>
      </c>
      <c r="C74" s="114">
        <f t="shared" si="9"/>
        <v>17</v>
      </c>
      <c r="D74" s="115">
        <f t="shared" si="9"/>
        <v>30</v>
      </c>
      <c r="E74" s="116">
        <f t="shared" si="9"/>
        <v>0</v>
      </c>
      <c r="F74" s="41"/>
      <c r="G74" s="111"/>
    </row>
    <row r="75" spans="1:10">
      <c r="A75" s="1" t="s">
        <v>151</v>
      </c>
      <c r="B75" s="131">
        <v>2</v>
      </c>
      <c r="C75" s="132">
        <v>2</v>
      </c>
      <c r="D75" s="145">
        <v>20</v>
      </c>
      <c r="E75" s="124">
        <v>0</v>
      </c>
      <c r="F75" s="41"/>
      <c r="G75" s="109" t="s">
        <v>113</v>
      </c>
    </row>
    <row r="76" spans="1:10">
      <c r="A76" s="6" t="s">
        <v>150</v>
      </c>
      <c r="B76" s="146">
        <v>3.5</v>
      </c>
      <c r="C76" s="147">
        <v>15.5</v>
      </c>
      <c r="D76" s="148">
        <v>240</v>
      </c>
      <c r="E76" s="119">
        <v>0</v>
      </c>
      <c r="F76" s="154"/>
      <c r="G76" s="110" t="s">
        <v>149</v>
      </c>
    </row>
    <row r="77" spans="1:10">
      <c r="A77" s="6" t="s">
        <v>152</v>
      </c>
      <c r="B77" s="146">
        <v>3.5</v>
      </c>
      <c r="C77" s="147">
        <v>10</v>
      </c>
      <c r="D77" s="148">
        <v>655</v>
      </c>
      <c r="E77" s="119">
        <v>0</v>
      </c>
      <c r="F77" s="41"/>
      <c r="G77" s="110" t="s">
        <v>113</v>
      </c>
      <c r="H77" t="s">
        <v>251</v>
      </c>
    </row>
    <row r="78" spans="1:10">
      <c r="A78" s="240" t="s">
        <v>153</v>
      </c>
      <c r="B78" s="241">
        <v>6.5</v>
      </c>
      <c r="C78" s="241">
        <v>18</v>
      </c>
      <c r="D78" s="241">
        <v>0</v>
      </c>
      <c r="E78" s="242">
        <v>0</v>
      </c>
      <c r="F78" s="243"/>
      <c r="G78" s="243" t="s">
        <v>113</v>
      </c>
      <c r="H78" t="s">
        <v>172</v>
      </c>
    </row>
    <row r="79" spans="1:10" ht="16.5" thickBot="1">
      <c r="A79" s="9" t="s">
        <v>259</v>
      </c>
      <c r="B79" s="149">
        <f>D15</f>
        <v>0</v>
      </c>
      <c r="C79" s="150">
        <f>E15</f>
        <v>0</v>
      </c>
      <c r="D79" s="151">
        <v>0</v>
      </c>
      <c r="E79" s="116">
        <v>0</v>
      </c>
      <c r="F79" s="41"/>
      <c r="G79" s="111" t="s">
        <v>122</v>
      </c>
      <c r="J79" t="s">
        <v>233</v>
      </c>
    </row>
    <row r="80" spans="1:10" ht="16.5" thickBot="1">
      <c r="A80" s="9" t="s">
        <v>99</v>
      </c>
      <c r="B80" s="149">
        <v>12</v>
      </c>
      <c r="C80" s="150">
        <v>48</v>
      </c>
      <c r="D80" s="151">
        <v>360</v>
      </c>
      <c r="E80" s="116">
        <v>0</v>
      </c>
      <c r="F80" s="41"/>
      <c r="G80" s="112"/>
    </row>
    <row r="81" spans="1:7">
      <c r="A81" s="1" t="str">
        <f>"Manage/Health DB2 - "&amp;$S$5</f>
        <v xml:space="preserve">Manage/Health DB2 - Dev  </v>
      </c>
      <c r="B81" s="126">
        <v>6</v>
      </c>
      <c r="C81" s="127">
        <v>100</v>
      </c>
      <c r="D81" s="145">
        <v>0</v>
      </c>
      <c r="E81" s="152">
        <v>256</v>
      </c>
      <c r="F81" s="41"/>
      <c r="G81" s="109" t="s">
        <v>240</v>
      </c>
    </row>
    <row r="82" spans="1:7">
      <c r="A82" s="6" t="str">
        <f>"Manage/Health DB2 - "&amp;$T$5</f>
        <v xml:space="preserve">Manage/Health DB2 - Xsmall/Min  </v>
      </c>
      <c r="B82" s="55">
        <v>12</v>
      </c>
      <c r="C82" s="108">
        <v>100</v>
      </c>
      <c r="D82" s="148">
        <v>0</v>
      </c>
      <c r="E82" s="161">
        <f>MAX($G$6,$G$8,$L$6,$L$8)</f>
        <v>259.5</v>
      </c>
      <c r="F82" s="41"/>
      <c r="G82" s="110"/>
    </row>
    <row r="83" spans="1:7">
      <c r="A83" s="6" t="str">
        <f>"Manage/Health DB2 - "&amp;$U$5</f>
        <v xml:space="preserve">Manage/Health DB2 - Small  </v>
      </c>
      <c r="B83" s="55">
        <v>12</v>
      </c>
      <c r="C83" s="108">
        <v>100</v>
      </c>
      <c r="D83" s="148">
        <v>0</v>
      </c>
      <c r="E83" s="161">
        <f t="shared" ref="E83:E86" si="10">MAX($G$6,$G$8,$L$6,$L$8)</f>
        <v>259.5</v>
      </c>
      <c r="F83" s="41"/>
      <c r="G83" s="110"/>
    </row>
    <row r="84" spans="1:7">
      <c r="A84" s="6" t="str">
        <f>"Manage/Health DB2 - "&amp;$V$5</f>
        <v xml:space="preserve">Manage/Health DB2 - Medium  </v>
      </c>
      <c r="B84" s="55">
        <v>17</v>
      </c>
      <c r="C84" s="108">
        <v>228</v>
      </c>
      <c r="D84" s="148">
        <v>0</v>
      </c>
      <c r="E84" s="161">
        <f t="shared" si="10"/>
        <v>259.5</v>
      </c>
      <c r="F84" s="41"/>
      <c r="G84" s="110"/>
    </row>
    <row r="85" spans="1:7">
      <c r="A85" s="6" t="str">
        <f>"Manage/Health DB2 - "&amp;$W$5</f>
        <v xml:space="preserve">Manage/Health DB2 - Large  </v>
      </c>
      <c r="B85" s="55">
        <v>33</v>
      </c>
      <c r="C85" s="108">
        <v>484</v>
      </c>
      <c r="D85" s="148">
        <v>0</v>
      </c>
      <c r="E85" s="161">
        <f t="shared" si="10"/>
        <v>259.5</v>
      </c>
      <c r="F85" s="41"/>
      <c r="G85" s="110"/>
    </row>
    <row r="86" spans="1:7" ht="16.5" thickBot="1">
      <c r="A86" s="9" t="str">
        <f>"Manage/Health DB2 - "&amp;$X$5</f>
        <v xml:space="preserve">Manage/Health DB2 - Beyond Large  </v>
      </c>
      <c r="B86" s="128">
        <f>B84+B85</f>
        <v>50</v>
      </c>
      <c r="C86" s="114">
        <f>C85+C84</f>
        <v>712</v>
      </c>
      <c r="D86" s="151">
        <v>0</v>
      </c>
      <c r="E86" s="165">
        <f t="shared" si="10"/>
        <v>259.5</v>
      </c>
      <c r="F86" s="41"/>
      <c r="G86" s="111"/>
    </row>
    <row r="87" spans="1:7">
      <c r="A87" s="1" t="str">
        <f>"Monitor DB2 - "&amp;$S$5</f>
        <v xml:space="preserve">Monitor DB2 - Dev  </v>
      </c>
      <c r="B87" s="126">
        <v>6</v>
      </c>
      <c r="C87" s="127">
        <v>100</v>
      </c>
      <c r="D87" s="123">
        <v>0</v>
      </c>
      <c r="E87" s="124">
        <v>512</v>
      </c>
      <c r="F87" s="41"/>
      <c r="G87" s="109" t="s">
        <v>239</v>
      </c>
    </row>
    <row r="88" spans="1:7">
      <c r="A88" s="6" t="str">
        <f>"Monitor DB2 - "&amp;$T$5</f>
        <v xml:space="preserve">Monitor DB2 - Xsmall/Min  </v>
      </c>
      <c r="B88" s="55">
        <v>12</v>
      </c>
      <c r="C88" s="108">
        <v>100</v>
      </c>
      <c r="D88" s="118">
        <v>0</v>
      </c>
      <c r="E88" s="119">
        <v>512</v>
      </c>
      <c r="F88" s="41"/>
      <c r="G88" s="110"/>
    </row>
    <row r="89" spans="1:7">
      <c r="A89" s="6" t="str">
        <f>"Monitor DB2 - "&amp;$U$5</f>
        <v xml:space="preserve">Monitor DB2 - Small  </v>
      </c>
      <c r="B89" s="55">
        <v>12</v>
      </c>
      <c r="C89" s="108">
        <v>100</v>
      </c>
      <c r="D89" s="118">
        <v>0</v>
      </c>
      <c r="E89" s="119">
        <v>1024</v>
      </c>
      <c r="F89" s="41"/>
      <c r="G89" s="110"/>
    </row>
    <row r="90" spans="1:7">
      <c r="A90" s="6" t="str">
        <f>"Monitor DB2 - "&amp;$V$5</f>
        <v xml:space="preserve">Monitor DB2 - Medium  </v>
      </c>
      <c r="B90" s="55">
        <v>17</v>
      </c>
      <c r="C90" s="108">
        <v>228</v>
      </c>
      <c r="D90" s="118">
        <v>0</v>
      </c>
      <c r="E90" s="119">
        <v>2048</v>
      </c>
      <c r="F90" s="41"/>
      <c r="G90" s="110"/>
    </row>
    <row r="91" spans="1:7">
      <c r="A91" s="6" t="str">
        <f>"Monitor DB2 - "&amp;$W$5</f>
        <v xml:space="preserve">Monitor DB2 - Large  </v>
      </c>
      <c r="B91" s="55">
        <v>33</v>
      </c>
      <c r="C91" s="108">
        <v>484</v>
      </c>
      <c r="D91" s="148">
        <v>0</v>
      </c>
      <c r="E91" s="153">
        <v>8192</v>
      </c>
      <c r="F91" s="41"/>
      <c r="G91" s="110"/>
    </row>
    <row r="92" spans="1:7" ht="16.5" thickBot="1">
      <c r="A92" s="9" t="str">
        <f>"Monitor DB2 - "&amp;$X$5</f>
        <v xml:space="preserve">Monitor DB2 - Beyond Large  </v>
      </c>
      <c r="B92" s="128">
        <f>B91+B90</f>
        <v>50</v>
      </c>
      <c r="C92" s="114">
        <f>C91+C90</f>
        <v>712</v>
      </c>
      <c r="D92" s="151">
        <v>0</v>
      </c>
      <c r="E92" s="165">
        <f>E91+E90</f>
        <v>10240</v>
      </c>
      <c r="F92" s="41"/>
      <c r="G92" s="111"/>
    </row>
    <row r="93" spans="1:7">
      <c r="A93" s="3" t="str">
        <f>"CP4D"&amp;$S$5</f>
        <v xml:space="preserve">CP4DDev  </v>
      </c>
      <c r="B93" s="4">
        <v>14</v>
      </c>
      <c r="C93" s="4"/>
      <c r="D93" s="4"/>
      <c r="E93" s="143"/>
      <c r="F93" s="41"/>
      <c r="G93" s="109"/>
    </row>
    <row r="94" spans="1:7">
      <c r="A94" s="142" t="str">
        <f>"CP4D"&amp;$T$5</f>
        <v xml:space="preserve">CP4DXsmall/Min  </v>
      </c>
      <c r="B94" s="39">
        <v>14</v>
      </c>
      <c r="C94" s="39"/>
      <c r="D94" s="39"/>
      <c r="E94" s="133"/>
      <c r="F94" s="41"/>
      <c r="G94" s="110"/>
    </row>
    <row r="95" spans="1:7">
      <c r="A95" s="142" t="str">
        <f>"CP4D"&amp;$U$5</f>
        <v xml:space="preserve">CP4DSmall  </v>
      </c>
      <c r="B95" s="39">
        <v>14</v>
      </c>
      <c r="C95" s="39"/>
      <c r="D95" s="39"/>
      <c r="E95" s="133"/>
      <c r="F95" s="41"/>
      <c r="G95" s="110"/>
    </row>
    <row r="96" spans="1:7">
      <c r="A96" s="142" t="str">
        <f>"CP4D"&amp;$V$5</f>
        <v xml:space="preserve">CP4DMedium  </v>
      </c>
      <c r="B96" s="39">
        <v>28</v>
      </c>
      <c r="C96" s="39"/>
      <c r="D96" s="39"/>
      <c r="E96" s="133"/>
      <c r="F96" s="41"/>
      <c r="G96" s="110"/>
    </row>
    <row r="97" spans="1:7">
      <c r="A97" s="142" t="str">
        <f>"CP4D"&amp;$W$5</f>
        <v xml:space="preserve">CP4DLarge  </v>
      </c>
      <c r="B97" s="39">
        <v>37</v>
      </c>
      <c r="C97" s="39"/>
      <c r="D97" s="39"/>
      <c r="E97" s="133"/>
      <c r="F97" s="41"/>
      <c r="G97" s="110"/>
    </row>
    <row r="98" spans="1:7" ht="16.5" thickBot="1">
      <c r="A98" s="21" t="str">
        <f>"CP4D"&amp;$X$5</f>
        <v xml:space="preserve">CP4DBeyond Large  </v>
      </c>
      <c r="B98" s="107">
        <f>B96+B97</f>
        <v>65</v>
      </c>
      <c r="C98" s="107"/>
      <c r="D98" s="107"/>
      <c r="E98" s="144"/>
      <c r="F98" s="41"/>
      <c r="G98" s="111"/>
    </row>
    <row r="99" spans="1:7">
      <c r="A99" s="1" t="str">
        <f>"MongoDB - "&amp;$S$5</f>
        <v xml:space="preserve">MongoDB - Dev  </v>
      </c>
      <c r="B99" s="126">
        <v>2</v>
      </c>
      <c r="C99" s="127">
        <v>0</v>
      </c>
      <c r="D99" s="123">
        <v>20</v>
      </c>
      <c r="E99" s="124">
        <v>0</v>
      </c>
      <c r="F99" s="41"/>
      <c r="G99" s="109" t="s">
        <v>120</v>
      </c>
    </row>
    <row r="100" spans="1:7">
      <c r="A100" s="6" t="str">
        <f>"MongoDB - "&amp;$T$5</f>
        <v xml:space="preserve">MongoDB - Xsmall/Min  </v>
      </c>
      <c r="B100" s="55">
        <v>2</v>
      </c>
      <c r="C100" s="108">
        <v>0</v>
      </c>
      <c r="D100" s="118">
        <v>20</v>
      </c>
      <c r="E100" s="119">
        <v>0</v>
      </c>
      <c r="F100" s="41"/>
      <c r="G100" s="110"/>
    </row>
    <row r="101" spans="1:7">
      <c r="A101" s="6" t="str">
        <f>"MongoDB - "&amp;$U$5</f>
        <v xml:space="preserve">MongoDB - Small  </v>
      </c>
      <c r="B101" s="55">
        <v>2</v>
      </c>
      <c r="C101" s="108">
        <v>0</v>
      </c>
      <c r="D101" s="118">
        <v>20</v>
      </c>
      <c r="E101" s="119">
        <v>0</v>
      </c>
      <c r="F101" s="41"/>
      <c r="G101" s="110"/>
    </row>
    <row r="102" spans="1:7">
      <c r="A102" s="6" t="str">
        <f>"MongoDB - "&amp;$V$5</f>
        <v xml:space="preserve">MongoDB - Medium  </v>
      </c>
      <c r="B102" s="55">
        <v>2</v>
      </c>
      <c r="C102" s="108">
        <v>0</v>
      </c>
      <c r="D102" s="118">
        <v>30</v>
      </c>
      <c r="E102" s="119">
        <v>0</v>
      </c>
      <c r="F102" s="41"/>
      <c r="G102" s="110"/>
    </row>
    <row r="103" spans="1:7">
      <c r="A103" s="6" t="str">
        <f>"MongoDB - "&amp;$W$5</f>
        <v xml:space="preserve">MongoDB - Large  </v>
      </c>
      <c r="B103" s="55">
        <v>4</v>
      </c>
      <c r="C103" s="108">
        <v>96</v>
      </c>
      <c r="D103" s="118">
        <v>40</v>
      </c>
      <c r="E103" s="119">
        <v>0</v>
      </c>
      <c r="F103" s="41"/>
      <c r="G103" s="110"/>
    </row>
    <row r="104" spans="1:7" ht="16.5" thickBot="1">
      <c r="A104" s="9" t="str">
        <f>"MongoDB - "&amp;$X$5</f>
        <v xml:space="preserve">MongoDB - Beyond Large  </v>
      </c>
      <c r="B104" s="128">
        <f>B103+B102</f>
        <v>6</v>
      </c>
      <c r="C104" s="114">
        <f>C103+C102</f>
        <v>96</v>
      </c>
      <c r="D104" s="115">
        <f>D103+D102</f>
        <v>70</v>
      </c>
      <c r="E104" s="116">
        <v>0</v>
      </c>
      <c r="F104" s="41"/>
      <c r="G104" s="111"/>
    </row>
    <row r="105" spans="1:7">
      <c r="A105" s="1" t="str">
        <f>"Watson Studio - "&amp;$S$5</f>
        <v xml:space="preserve">Watson Studio - Dev  </v>
      </c>
      <c r="B105" s="126">
        <v>2</v>
      </c>
      <c r="C105" s="127">
        <v>48</v>
      </c>
      <c r="D105" s="123">
        <v>0</v>
      </c>
      <c r="E105" s="124">
        <v>0</v>
      </c>
      <c r="F105" s="41"/>
      <c r="G105" s="109" t="s">
        <v>10</v>
      </c>
    </row>
    <row r="106" spans="1:7">
      <c r="A106" s="6" t="str">
        <f>"Watson Studio - "&amp;$T$5</f>
        <v xml:space="preserve">Watson Studio - Xsmall/Min  </v>
      </c>
      <c r="B106" s="55">
        <v>2</v>
      </c>
      <c r="C106" s="108">
        <v>48</v>
      </c>
      <c r="D106" s="118">
        <v>0</v>
      </c>
      <c r="E106" s="119">
        <v>0</v>
      </c>
      <c r="F106" s="41"/>
      <c r="G106" s="110" t="s">
        <v>121</v>
      </c>
    </row>
    <row r="107" spans="1:7">
      <c r="A107" s="6" t="str">
        <f>"Watson Studio - "&amp;$U$5</f>
        <v xml:space="preserve">Watson Studio - Small  </v>
      </c>
      <c r="B107" s="55">
        <v>2</v>
      </c>
      <c r="C107" s="108">
        <v>48</v>
      </c>
      <c r="D107" s="118">
        <v>0</v>
      </c>
      <c r="E107" s="119">
        <v>0</v>
      </c>
      <c r="F107" s="41"/>
      <c r="G107" s="110"/>
    </row>
    <row r="108" spans="1:7">
      <c r="A108" s="6" t="str">
        <f>"Watson Studio - "&amp;$V$5</f>
        <v xml:space="preserve">Watson Studio - Medium  </v>
      </c>
      <c r="B108" s="55">
        <v>6</v>
      </c>
      <c r="C108" s="108">
        <v>88</v>
      </c>
      <c r="D108" s="118">
        <v>0</v>
      </c>
      <c r="E108" s="119">
        <v>0</v>
      </c>
      <c r="F108" s="41"/>
      <c r="G108" s="110"/>
    </row>
    <row r="109" spans="1:7">
      <c r="A109" s="6" t="str">
        <f>"Watson Studio - "&amp;$W$5</f>
        <v xml:space="preserve">Watson Studio - Large  </v>
      </c>
      <c r="B109" s="55">
        <v>6</v>
      </c>
      <c r="C109" s="108">
        <v>88</v>
      </c>
      <c r="D109" s="118">
        <v>0</v>
      </c>
      <c r="E109" s="119">
        <v>0</v>
      </c>
      <c r="F109" s="41"/>
      <c r="G109" s="110"/>
    </row>
    <row r="110" spans="1:7" ht="16.5" thickBot="1">
      <c r="A110" s="9" t="str">
        <f>"Watson Studio - "&amp;$X$5</f>
        <v xml:space="preserve">Watson Studio - Beyond Large  </v>
      </c>
      <c r="B110" s="128">
        <f t="shared" ref="B110:C110" si="11">B109+B108</f>
        <v>12</v>
      </c>
      <c r="C110" s="114">
        <f t="shared" si="11"/>
        <v>176</v>
      </c>
      <c r="D110" s="115">
        <v>0</v>
      </c>
      <c r="E110" s="116">
        <v>0</v>
      </c>
      <c r="F110" s="41"/>
      <c r="G110" s="111"/>
    </row>
    <row r="111" spans="1:7">
      <c r="A111" s="1" t="str">
        <f>"Watson ML - "&amp;$S$5</f>
        <v xml:space="preserve">Watson ML - Dev  </v>
      </c>
      <c r="B111" s="126">
        <v>16</v>
      </c>
      <c r="C111" s="127">
        <v>64</v>
      </c>
      <c r="D111" s="123">
        <v>0</v>
      </c>
      <c r="E111" s="124">
        <v>0</v>
      </c>
      <c r="F111" s="41"/>
      <c r="G111" s="109" t="s">
        <v>10</v>
      </c>
    </row>
    <row r="112" spans="1:7">
      <c r="A112" s="6" t="str">
        <f>"Watson ML - "&amp;$T$5</f>
        <v xml:space="preserve">Watson ML - Xsmall/Min  </v>
      </c>
      <c r="B112" s="55">
        <v>32</v>
      </c>
      <c r="C112" s="108">
        <v>64</v>
      </c>
      <c r="D112" s="118">
        <v>0</v>
      </c>
      <c r="E112" s="119">
        <v>0</v>
      </c>
      <c r="F112" s="41"/>
      <c r="G112" s="110"/>
    </row>
    <row r="113" spans="1:7">
      <c r="A113" s="6" t="str">
        <f>"Watson ML - "&amp;$U$5</f>
        <v xml:space="preserve">Watson ML - Small  </v>
      </c>
      <c r="B113" s="55">
        <v>32</v>
      </c>
      <c r="C113" s="108">
        <v>128</v>
      </c>
      <c r="D113" s="118">
        <v>0</v>
      </c>
      <c r="E113" s="119">
        <v>0</v>
      </c>
      <c r="F113" s="41"/>
      <c r="G113" s="110"/>
    </row>
    <row r="114" spans="1:7">
      <c r="A114" s="6" t="str">
        <f>"Watson ML - "&amp;$V$5</f>
        <v xml:space="preserve">Watson ML - Medium  </v>
      </c>
      <c r="B114" s="55">
        <v>32</v>
      </c>
      <c r="C114" s="108">
        <v>128</v>
      </c>
      <c r="D114" s="118">
        <v>0</v>
      </c>
      <c r="E114" s="119">
        <v>0</v>
      </c>
      <c r="F114" s="41"/>
      <c r="G114" s="110"/>
    </row>
    <row r="115" spans="1:7">
      <c r="A115" s="6" t="str">
        <f>"Watson ML - "&amp;$W$5</f>
        <v xml:space="preserve">Watson ML - Large  </v>
      </c>
      <c r="B115" s="55">
        <v>48</v>
      </c>
      <c r="C115" s="108">
        <v>182</v>
      </c>
      <c r="D115" s="118">
        <v>0</v>
      </c>
      <c r="E115" s="119">
        <v>0</v>
      </c>
      <c r="F115" s="41"/>
      <c r="G115" s="110"/>
    </row>
    <row r="116" spans="1:7" ht="16.5" thickBot="1">
      <c r="A116" s="9" t="str">
        <f>"Watson ML - "&amp;$X$5</f>
        <v xml:space="preserve">Watson ML - Beyond Large  </v>
      </c>
      <c r="B116" s="128">
        <f t="shared" ref="B116:C116" si="12">B115+B114</f>
        <v>80</v>
      </c>
      <c r="C116" s="114">
        <f t="shared" si="12"/>
        <v>310</v>
      </c>
      <c r="D116" s="115">
        <v>0</v>
      </c>
      <c r="E116" s="116">
        <v>0</v>
      </c>
      <c r="F116" s="41"/>
      <c r="G116" s="111"/>
    </row>
    <row r="117" spans="1:7">
      <c r="A117" s="1" t="str">
        <f>"Watson Discovery - "&amp;$S$5</f>
        <v xml:space="preserve">Watson Discovery - Dev  </v>
      </c>
      <c r="B117" s="126">
        <v>29</v>
      </c>
      <c r="C117" s="127">
        <v>96</v>
      </c>
      <c r="D117" s="123">
        <v>650</v>
      </c>
      <c r="E117" s="124">
        <v>0</v>
      </c>
      <c r="F117" s="41"/>
      <c r="G117" s="109" t="s">
        <v>78</v>
      </c>
    </row>
    <row r="118" spans="1:7">
      <c r="A118" s="6" t="str">
        <f>"Watson Discovery - "&amp;$T$5</f>
        <v xml:space="preserve">Watson Discovery - Xsmall/Min  </v>
      </c>
      <c r="B118" s="55">
        <v>29</v>
      </c>
      <c r="C118" s="108">
        <v>96</v>
      </c>
      <c r="D118" s="118">
        <v>650</v>
      </c>
      <c r="E118" s="119">
        <v>0</v>
      </c>
      <c r="F118" s="41"/>
      <c r="G118" s="110"/>
    </row>
    <row r="119" spans="1:7">
      <c r="A119" s="6" t="str">
        <f>"Watson Discovery - "&amp;$U$5</f>
        <v xml:space="preserve">Watson Discovery - Small  </v>
      </c>
      <c r="B119" s="55">
        <v>29</v>
      </c>
      <c r="C119" s="108">
        <v>150</v>
      </c>
      <c r="D119" s="118">
        <v>890</v>
      </c>
      <c r="E119" s="119">
        <v>0</v>
      </c>
      <c r="F119" s="41"/>
      <c r="G119" s="110"/>
    </row>
    <row r="120" spans="1:7">
      <c r="A120" s="6" t="str">
        <f>"Watson Discovery - "&amp;$V$5</f>
        <v xml:space="preserve">Watson Discovery - Medium  </v>
      </c>
      <c r="B120" s="55">
        <v>29</v>
      </c>
      <c r="C120" s="108">
        <v>150</v>
      </c>
      <c r="D120" s="118">
        <v>890</v>
      </c>
      <c r="E120" s="119">
        <v>0</v>
      </c>
      <c r="F120" s="41"/>
      <c r="G120" s="110"/>
    </row>
    <row r="121" spans="1:7">
      <c r="A121" s="6" t="str">
        <f>"Watson Discovery - "&amp;$W$5</f>
        <v xml:space="preserve">Watson Discovery - Large  </v>
      </c>
      <c r="B121" s="55">
        <v>74</v>
      </c>
      <c r="C121" s="108">
        <v>200</v>
      </c>
      <c r="D121" s="118">
        <v>1890</v>
      </c>
      <c r="E121" s="119">
        <v>0</v>
      </c>
      <c r="F121" s="41"/>
      <c r="G121" s="110"/>
    </row>
    <row r="122" spans="1:7" ht="16.5" thickBot="1">
      <c r="A122" s="9" t="str">
        <f>"Watson Discovery - "&amp;$X$5</f>
        <v xml:space="preserve">Watson Discovery - Beyond Large  </v>
      </c>
      <c r="B122" s="128">
        <f t="shared" ref="B122" si="13">B121+B120</f>
        <v>103</v>
      </c>
      <c r="C122" s="114">
        <f t="shared" ref="C122" si="14">C121+C120</f>
        <v>350</v>
      </c>
      <c r="D122" s="115">
        <f t="shared" ref="D122" si="15">D121+D120</f>
        <v>2780</v>
      </c>
      <c r="E122" s="116">
        <v>0</v>
      </c>
      <c r="F122" s="41"/>
      <c r="G122" s="111"/>
    </row>
    <row r="123" spans="1:7">
      <c r="A123" s="1" t="str">
        <f>"CouchDB - "&amp;$S$5</f>
        <v xml:space="preserve">CouchDB - Dev  </v>
      </c>
      <c r="B123" s="126">
        <v>3</v>
      </c>
      <c r="C123" s="127">
        <v>6</v>
      </c>
      <c r="D123" s="123">
        <v>300</v>
      </c>
      <c r="E123" s="124">
        <v>0</v>
      </c>
      <c r="F123" s="41"/>
      <c r="G123" s="109" t="s">
        <v>78</v>
      </c>
    </row>
    <row r="124" spans="1:7">
      <c r="A124" s="6" t="str">
        <f>"CouchDB - "&amp;$T$5</f>
        <v xml:space="preserve">CouchDB - Xsmall/Min  </v>
      </c>
      <c r="B124" s="55">
        <v>3</v>
      </c>
      <c r="C124" s="108">
        <v>6</v>
      </c>
      <c r="D124" s="118">
        <v>300</v>
      </c>
      <c r="E124" s="119">
        <v>0</v>
      </c>
      <c r="F124" s="41"/>
      <c r="G124" s="110"/>
    </row>
    <row r="125" spans="1:7">
      <c r="A125" s="6" t="str">
        <f>"CouchDB - "&amp;$U$5</f>
        <v xml:space="preserve">CouchDB - Small  </v>
      </c>
      <c r="B125" s="55">
        <v>3</v>
      </c>
      <c r="C125" s="108">
        <v>6</v>
      </c>
      <c r="D125" s="118">
        <v>300</v>
      </c>
      <c r="E125" s="119">
        <v>0</v>
      </c>
      <c r="F125" s="41"/>
      <c r="G125" s="110"/>
    </row>
    <row r="126" spans="1:7">
      <c r="A126" s="6" t="str">
        <f>"CouchDB - "&amp;$V$5</f>
        <v xml:space="preserve">CouchDB - Medium  </v>
      </c>
      <c r="B126" s="55">
        <v>5</v>
      </c>
      <c r="C126" s="108">
        <v>10</v>
      </c>
      <c r="D126" s="118">
        <v>500</v>
      </c>
      <c r="E126" s="119">
        <v>0</v>
      </c>
      <c r="F126" s="41"/>
      <c r="G126" s="110"/>
    </row>
    <row r="127" spans="1:7">
      <c r="A127" s="6" t="str">
        <f>"CouchDB - "&amp;$W$5</f>
        <v xml:space="preserve">CouchDB - Large  </v>
      </c>
      <c r="B127" s="55">
        <v>10</v>
      </c>
      <c r="C127" s="108">
        <v>20</v>
      </c>
      <c r="D127" s="118">
        <v>1000</v>
      </c>
      <c r="E127" s="119">
        <v>0</v>
      </c>
      <c r="F127" s="41"/>
      <c r="G127" s="110"/>
    </row>
    <row r="128" spans="1:7" ht="16.5" thickBot="1">
      <c r="A128" s="9" t="str">
        <f>"CouchDB - "&amp;$X$5</f>
        <v xml:space="preserve">CouchDB - Beyond Large  </v>
      </c>
      <c r="B128" s="128">
        <f t="shared" ref="B128" si="16">B127+B126</f>
        <v>15</v>
      </c>
      <c r="C128" s="114">
        <f t="shared" ref="C128" si="17">C127+C126</f>
        <v>30</v>
      </c>
      <c r="D128" s="115">
        <f t="shared" ref="D128" si="18">D127+D126</f>
        <v>1500</v>
      </c>
      <c r="E128" s="116">
        <v>0</v>
      </c>
      <c r="F128" s="41"/>
      <c r="G128" s="111"/>
    </row>
    <row r="129" spans="1:13">
      <c r="A129" s="6" t="str">
        <f>"Kafka - "&amp;$S$5</f>
        <v xml:space="preserve">Kafka - Dev  </v>
      </c>
      <c r="B129" s="55">
        <v>9</v>
      </c>
      <c r="C129" s="108">
        <v>32</v>
      </c>
      <c r="D129" s="118">
        <v>0</v>
      </c>
      <c r="E129" s="119">
        <v>0</v>
      </c>
      <c r="F129" s="41"/>
      <c r="G129" s="109" t="s">
        <v>6</v>
      </c>
    </row>
    <row r="130" spans="1:13">
      <c r="A130" s="6" t="str">
        <f>"Kafka - "&amp;$T$5</f>
        <v xml:space="preserve">Kafka - Xsmall/Min  </v>
      </c>
      <c r="B130" s="55">
        <v>9</v>
      </c>
      <c r="C130" s="108">
        <v>32</v>
      </c>
      <c r="D130" s="118">
        <v>0</v>
      </c>
      <c r="E130" s="119">
        <v>0</v>
      </c>
      <c r="F130" s="41"/>
      <c r="G130" s="110"/>
    </row>
    <row r="131" spans="1:13">
      <c r="A131" s="6" t="str">
        <f>"Kafka - "&amp;$U$5</f>
        <v xml:space="preserve">Kafka - Small  </v>
      </c>
      <c r="B131" s="55">
        <v>9</v>
      </c>
      <c r="C131" s="108">
        <v>32</v>
      </c>
      <c r="D131" s="118">
        <v>0</v>
      </c>
      <c r="E131" s="119">
        <v>0</v>
      </c>
      <c r="F131" s="41"/>
      <c r="G131" s="110"/>
    </row>
    <row r="132" spans="1:13">
      <c r="A132" s="6" t="str">
        <f>"Kafka - "&amp;$V$5</f>
        <v xml:space="preserve">Kafka - Medium  </v>
      </c>
      <c r="B132" s="55">
        <v>9</v>
      </c>
      <c r="C132" s="108">
        <v>32</v>
      </c>
      <c r="D132" s="118">
        <v>0</v>
      </c>
      <c r="E132" s="119">
        <v>0</v>
      </c>
      <c r="F132" s="41"/>
      <c r="G132" s="110"/>
    </row>
    <row r="133" spans="1:13">
      <c r="A133" s="6" t="str">
        <f>"Kafka - "&amp;$W$5</f>
        <v xml:space="preserve">Kafka - Large  </v>
      </c>
      <c r="B133" s="55">
        <v>18</v>
      </c>
      <c r="C133" s="108">
        <v>120</v>
      </c>
      <c r="D133" s="118">
        <v>0</v>
      </c>
      <c r="E133" s="119">
        <v>0</v>
      </c>
      <c r="F133" s="41"/>
      <c r="G133" s="110"/>
    </row>
    <row r="134" spans="1:13" ht="16.5" thickBot="1">
      <c r="A134" s="9" t="str">
        <f>"Kafka - "&amp;$X$5</f>
        <v xml:space="preserve">Kafka - Beyond Large  </v>
      </c>
      <c r="B134" s="128">
        <f t="shared" ref="B134" si="19">B133+B132</f>
        <v>27</v>
      </c>
      <c r="C134" s="114">
        <f t="shared" ref="C134" si="20">C133+C132</f>
        <v>152</v>
      </c>
      <c r="D134" s="115">
        <v>0</v>
      </c>
      <c r="E134" s="116">
        <v>0</v>
      </c>
      <c r="F134" s="100"/>
      <c r="G134" s="111"/>
    </row>
    <row r="135" spans="1:13">
      <c r="A135" s="1" t="s">
        <v>138</v>
      </c>
      <c r="B135" s="126">
        <v>4</v>
      </c>
      <c r="C135" s="127">
        <v>16</v>
      </c>
      <c r="D135" s="123">
        <v>120</v>
      </c>
      <c r="E135" s="124">
        <v>0</v>
      </c>
      <c r="F135" s="40"/>
      <c r="G135" s="5" t="s">
        <v>123</v>
      </c>
      <c r="J135" t="s">
        <v>252</v>
      </c>
      <c r="K135" t="s">
        <v>253</v>
      </c>
      <c r="L135" t="s">
        <v>254</v>
      </c>
      <c r="M135" t="s">
        <v>255</v>
      </c>
    </row>
    <row r="136" spans="1:13" ht="16.5" thickBot="1">
      <c r="A136" s="9" t="s">
        <v>136</v>
      </c>
      <c r="B136" s="128">
        <v>8</v>
      </c>
      <c r="C136" s="114">
        <v>16</v>
      </c>
      <c r="D136" s="115">
        <v>120</v>
      </c>
      <c r="E136" s="116">
        <v>0</v>
      </c>
      <c r="F136" s="100"/>
      <c r="G136" s="10" t="s">
        <v>124</v>
      </c>
      <c r="J136">
        <v>5</v>
      </c>
      <c r="K136">
        <v>5</v>
      </c>
      <c r="L136">
        <v>8</v>
      </c>
      <c r="M136">
        <v>8</v>
      </c>
    </row>
    <row r="137" spans="1:13" ht="16.5" thickBot="1">
      <c r="A137" s="62" t="s">
        <v>137</v>
      </c>
      <c r="B137" s="166">
        <v>4</v>
      </c>
      <c r="C137" s="167">
        <v>16</v>
      </c>
      <c r="D137" s="168">
        <v>120</v>
      </c>
      <c r="E137" s="169">
        <v>0</v>
      </c>
      <c r="F137" s="100"/>
      <c r="G137" s="121" t="s">
        <v>127</v>
      </c>
    </row>
    <row r="138" spans="1:13" ht="16.5" thickBot="1">
      <c r="A138" s="62" t="s">
        <v>257</v>
      </c>
      <c r="B138" s="397">
        <f>IF('V8 Calculator'!G30="Y",9.5,0)</f>
        <v>0</v>
      </c>
      <c r="C138" s="398">
        <f>IF('V8 Calculator'!G30="Y",50,0)</f>
        <v>0</v>
      </c>
      <c r="D138" s="399">
        <f>IF('V8 Calculator'!G30="Y",256,0)</f>
        <v>0</v>
      </c>
      <c r="E138" s="169">
        <v>0</v>
      </c>
      <c r="F138" s="100"/>
      <c r="G138" s="121"/>
    </row>
  </sheetData>
  <sheetProtection algorithmName="SHA-512" hashValue="YoIbKjGdd/odgE+0tzUbv0Q1znYkE2af8Afdb10ntiUOFBgEZ9YV53xgEoOI2gmZbkfUX9hW/zleLUteV/Si+w==" saltValue="H8LyfLXanboS8eAZUZWRlw==" spinCount="100000" sheet="1" objects="1" scenarios="1"/>
  <mergeCells count="25">
    <mergeCell ref="A25:A26"/>
    <mergeCell ref="J45:K45"/>
    <mergeCell ref="Q28:S28"/>
    <mergeCell ref="Q44:S44"/>
    <mergeCell ref="C3:G3"/>
    <mergeCell ref="H3:L3"/>
    <mergeCell ref="J41:M41"/>
    <mergeCell ref="J35:M35"/>
    <mergeCell ref="J28:P28"/>
    <mergeCell ref="D5:G5"/>
    <mergeCell ref="D7:G7"/>
    <mergeCell ref="I5:L5"/>
    <mergeCell ref="I7:L7"/>
    <mergeCell ref="P7:P8"/>
    <mergeCell ref="P9:P10"/>
    <mergeCell ref="P11:P13"/>
    <mergeCell ref="P15:P16"/>
    <mergeCell ref="P17:P18"/>
    <mergeCell ref="P19:P20"/>
    <mergeCell ref="Q7:Q8"/>
    <mergeCell ref="Q9:Q10"/>
    <mergeCell ref="Q11:Q13"/>
    <mergeCell ref="Q15:Q16"/>
    <mergeCell ref="Q17:Q18"/>
    <mergeCell ref="Q19:Q20"/>
  </mergeCells>
  <pageMargins left="0.7" right="0.7" top="0.75" bottom="0.75" header="0.3" footer="0.3"/>
  <pageSetup orientation="portrait" horizontalDpi="4294967293" verticalDpi="0" r:id="rId1"/>
  <ignoredErrors>
    <ignoredError sqref="N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V8 Calculator</vt:lpstr>
      <vt:lpstr>Predict Data Points</vt:lpstr>
      <vt:lpstr>Production Detailed Report</vt:lpstr>
      <vt:lpstr>Development Detailed Report</vt:lpstr>
      <vt:lpstr>Versions</vt:lpstr>
      <vt:lpstr>Data Source</vt:lpstr>
      <vt:lpstr>EnvironmentSizes</vt:lpstr>
      <vt:lpstr>MASData</vt:lpstr>
      <vt:lpstr>'Predict Data Points'!Print_Area</vt:lpstr>
      <vt:lpstr>'Production Detailed Report'!Print_Area</vt:lpstr>
      <vt:lpstr>'V8 Calculator'!Print_Area</vt:lpstr>
      <vt:lpstr>Versions!Print_Area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Campbell</dc:creator>
  <cp:lastModifiedBy>Sourabh Jain</cp:lastModifiedBy>
  <cp:lastPrinted>2022-09-27T05:38:43Z</cp:lastPrinted>
  <dcterms:created xsi:type="dcterms:W3CDTF">2020-08-11T06:33:57Z</dcterms:created>
  <dcterms:modified xsi:type="dcterms:W3CDTF">2024-02-13T22:14:56Z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ca61ba5-1084-4997-9591-5d7e41f5562e_Enabled">
    <vt:lpwstr>true</vt:lpwstr>
  </property>
  <property fmtid="{D5CDD505-2E9C-101B-9397-08002B2CF9AE}" pid="3" name="MSIP_Label_7ca61ba5-1084-4997-9591-5d7e41f5562e_SetDate">
    <vt:lpwstr>2024-02-13T20:43:38Z</vt:lpwstr>
  </property>
  <property fmtid="{D5CDD505-2E9C-101B-9397-08002B2CF9AE}" pid="4" name="MSIP_Label_7ca61ba5-1084-4997-9591-5d7e41f5562e_Method">
    <vt:lpwstr>Standard</vt:lpwstr>
  </property>
  <property fmtid="{D5CDD505-2E9C-101B-9397-08002B2CF9AE}" pid="5" name="MSIP_Label_7ca61ba5-1084-4997-9591-5d7e41f5562e_Name">
    <vt:lpwstr>defa4170-0d19-0005-0004-bc88714345d2</vt:lpwstr>
  </property>
  <property fmtid="{D5CDD505-2E9C-101B-9397-08002B2CF9AE}" pid="6" name="MSIP_Label_7ca61ba5-1084-4997-9591-5d7e41f5562e_SiteId">
    <vt:lpwstr>efdc02ab-2bd8-4f36-959e-db3524faf07c</vt:lpwstr>
  </property>
  <property fmtid="{D5CDD505-2E9C-101B-9397-08002B2CF9AE}" pid="7" name="MSIP_Label_7ca61ba5-1084-4997-9591-5d7e41f5562e_ActionId">
    <vt:lpwstr>659a5458-18da-4a0d-bf36-293f36198713</vt:lpwstr>
  </property>
  <property fmtid="{D5CDD505-2E9C-101B-9397-08002B2CF9AE}" pid="8" name="MSIP_Label_7ca61ba5-1084-4997-9591-5d7e41f5562e_ContentBits">
    <vt:lpwstr>0</vt:lpwstr>
  </property>
</Properties>
</file>